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628"/>
  <workbookPr showInkAnnotation="0" codeName="ThisWorkbook" autoCompressPictures="0"/>
  <mc:AlternateContent xmlns:mc="http://schemas.openxmlformats.org/markup-compatibility/2006">
    <mc:Choice Requires="x15">
      <x15ac:absPath xmlns:x15ac="http://schemas.microsoft.com/office/spreadsheetml/2010/11/ac" url="C:\Users\wrighth\OneDrive - PennO365\Desktop\"/>
    </mc:Choice>
  </mc:AlternateContent>
  <xr:revisionPtr revIDLastSave="0" documentId="8_{7BCE5F01-46A2-4E6E-A944-58A438EDF0C5}" xr6:coauthVersionLast="47" xr6:coauthVersionMax="47" xr10:uidLastSave="{00000000-0000-0000-0000-000000000000}"/>
  <bookViews>
    <workbookView xWindow="22932" yWindow="-108" windowWidth="30936" windowHeight="16896" tabRatio="956" activeTab="3" xr2:uid="{00000000-000D-0000-FFFF-FFFF00000000}"/>
  </bookViews>
  <sheets>
    <sheet name="Summary Page" sheetId="8" r:id="rId1"/>
    <sheet name="Centrifugal Pumps" sheetId="3" r:id="rId2"/>
    <sheet name="Compressors" sheetId="9" r:id="rId3"/>
    <sheet name="Pressure Vessels" sheetId="13" r:id="rId4"/>
    <sheet name="Electric Motors" sheetId="1" r:id="rId5"/>
    <sheet name="Centrifugal (turbo) Blower" sheetId="6" r:id="rId6"/>
    <sheet name="Shell and Tube Heat Exchangers" sheetId="11" r:id="rId7"/>
    <sheet name="Storage Tanks" sheetId="19" r:id="rId8"/>
    <sheet name="Revision History" sheetId="18"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H6" i="19" l="1"/>
  <c r="I6" i="19" a="1"/>
  <c r="I6" i="19"/>
  <c r="E14" i="19"/>
  <c r="F14" i="19" s="1"/>
  <c r="G14" i="19" s="1"/>
  <c r="C143" i="8" s="1"/>
  <c r="E12" i="19"/>
  <c r="F12" i="19" s="1"/>
  <c r="G12" i="19" s="1"/>
  <c r="C142" i="8" s="1"/>
  <c r="E10" i="19"/>
  <c r="F10" i="19" s="1"/>
  <c r="G10" i="19" s="1"/>
  <c r="C141" i="8" s="1"/>
  <c r="E8" i="19"/>
  <c r="F8" i="19" s="1"/>
  <c r="G8" i="19" s="1"/>
  <c r="C140" i="8" s="1"/>
  <c r="E6" i="19"/>
  <c r="F6" i="19" s="1"/>
  <c r="G6" i="19" s="1"/>
  <c r="C139" i="8" s="1"/>
  <c r="B36" i="8" s="1"/>
  <c r="D6" i="19"/>
  <c r="F6" i="13"/>
  <c r="I6" i="13"/>
  <c r="K6" i="13"/>
  <c r="L6" i="13"/>
  <c r="N6" i="13"/>
  <c r="O6" i="13"/>
  <c r="P6" i="13"/>
  <c r="R6" i="13"/>
  <c r="Z6" i="13"/>
  <c r="AA6" i="13" a="1"/>
  <c r="AA6" i="13"/>
  <c r="V14" i="13"/>
  <c r="K14" i="13"/>
  <c r="I14" i="13"/>
  <c r="L14" i="13"/>
  <c r="N14" i="13"/>
  <c r="O14" i="13"/>
  <c r="P14" i="13"/>
  <c r="R14" i="13"/>
  <c r="S14" i="13"/>
  <c r="T14" i="13"/>
  <c r="W14" i="13"/>
  <c r="X14" i="13" s="1"/>
  <c r="Y14" i="13" s="1"/>
  <c r="G122" i="8" s="1"/>
  <c r="V12" i="13"/>
  <c r="W12" i="13" s="1"/>
  <c r="X12" i="13" s="1"/>
  <c r="Y12" i="13" s="1"/>
  <c r="G121" i="8" s="1"/>
  <c r="T12" i="13"/>
  <c r="K12" i="13"/>
  <c r="I12" i="13"/>
  <c r="L12" i="13"/>
  <c r="N12" i="13"/>
  <c r="O12" i="13"/>
  <c r="P12" i="13"/>
  <c r="R12" i="13"/>
  <c r="S12" i="13"/>
  <c r="V10" i="13"/>
  <c r="W10" i="13" s="1"/>
  <c r="X10" i="13" s="1"/>
  <c r="Y10" i="13" s="1"/>
  <c r="G120" i="8" s="1"/>
  <c r="T10" i="13"/>
  <c r="K10" i="13"/>
  <c r="I10" i="13"/>
  <c r="L10" i="13"/>
  <c r="N10" i="13"/>
  <c r="O10" i="13"/>
  <c r="P10" i="13"/>
  <c r="R10" i="13"/>
  <c r="S10" i="13"/>
  <c r="V8" i="13"/>
  <c r="T8" i="13"/>
  <c r="K8" i="13"/>
  <c r="F8" i="13"/>
  <c r="I8" i="13"/>
  <c r="L8" i="13"/>
  <c r="N8" i="13"/>
  <c r="O8" i="13"/>
  <c r="P8" i="13"/>
  <c r="R8" i="13"/>
  <c r="S8" i="13"/>
  <c r="W8" i="13"/>
  <c r="X8" i="13" s="1"/>
  <c r="Y8" i="13" s="1"/>
  <c r="G119" i="8" s="1"/>
  <c r="V6" i="13"/>
  <c r="T6" i="13"/>
  <c r="S6" i="13"/>
  <c r="W6" i="13"/>
  <c r="K14" i="11"/>
  <c r="L14" i="11" s="1"/>
  <c r="M14" i="11" s="1"/>
  <c r="N14" i="11" s="1"/>
  <c r="E101" i="8" s="1"/>
  <c r="I14" i="11"/>
  <c r="G14" i="11"/>
  <c r="D14" i="11"/>
  <c r="K12" i="11"/>
  <c r="I12" i="11"/>
  <c r="G12" i="11"/>
  <c r="D12" i="11"/>
  <c r="L12" i="11"/>
  <c r="M12" i="11" s="1"/>
  <c r="N12" i="11" s="1"/>
  <c r="E100" i="8" s="1"/>
  <c r="K10" i="11"/>
  <c r="L10" i="11" s="1"/>
  <c r="M10" i="11" s="1"/>
  <c r="N10" i="11" s="1"/>
  <c r="E99" i="8" s="1"/>
  <c r="I10" i="11"/>
  <c r="G10" i="11"/>
  <c r="D10" i="11"/>
  <c r="K8" i="11"/>
  <c r="I8" i="11"/>
  <c r="G8" i="11"/>
  <c r="D8" i="11"/>
  <c r="L8" i="11"/>
  <c r="M8" i="11" s="1"/>
  <c r="N8" i="11" s="1"/>
  <c r="E98" i="8" s="1"/>
  <c r="K6" i="11"/>
  <c r="G6" i="11"/>
  <c r="D6" i="11"/>
  <c r="I6" i="11"/>
  <c r="L6" i="11"/>
  <c r="M6" i="11" s="1"/>
  <c r="N6" i="11" s="1"/>
  <c r="E97" i="8" s="1"/>
  <c r="O14" i="11"/>
  <c r="P14" i="11"/>
  <c r="O12" i="11"/>
  <c r="P12" i="11"/>
  <c r="O10" i="11"/>
  <c r="P10" i="11"/>
  <c r="O8" i="11"/>
  <c r="P8" i="11"/>
  <c r="O6" i="11"/>
  <c r="P6" i="11"/>
  <c r="G15" i="9"/>
  <c r="H15" i="9" s="1"/>
  <c r="I15" i="9" s="1"/>
  <c r="J15" i="9" s="1"/>
  <c r="D94" i="8" s="1"/>
  <c r="D15" i="9"/>
  <c r="G13" i="9"/>
  <c r="H13" i="9" s="1"/>
  <c r="I13" i="9" s="1"/>
  <c r="J13" i="9" s="1"/>
  <c r="D93" i="8" s="1"/>
  <c r="D13" i="9"/>
  <c r="G11" i="9"/>
  <c r="D11" i="9"/>
  <c r="H11" i="9"/>
  <c r="I11" i="9" s="1"/>
  <c r="J11" i="9" s="1"/>
  <c r="D92" i="8" s="1"/>
  <c r="G9" i="9"/>
  <c r="D9" i="9"/>
  <c r="H9" i="9"/>
  <c r="I9" i="9" s="1"/>
  <c r="J9" i="9" s="1"/>
  <c r="D91" i="8" s="1"/>
  <c r="G7" i="9"/>
  <c r="H7" i="9" s="1"/>
  <c r="I7" i="9" s="1"/>
  <c r="J7" i="9" s="1"/>
  <c r="D90" i="8" s="1"/>
  <c r="D7" i="9"/>
  <c r="K15" i="9"/>
  <c r="L15" i="9" a="1"/>
  <c r="L15" i="9"/>
  <c r="K13" i="9"/>
  <c r="L13" i="9" a="1"/>
  <c r="L13" i="9"/>
  <c r="K11" i="9"/>
  <c r="L11" i="9" a="1"/>
  <c r="L11" i="9"/>
  <c r="K9" i="9"/>
  <c r="L9" i="9" a="1"/>
  <c r="L9" i="9"/>
  <c r="K7" i="9"/>
  <c r="L7" i="9" a="1"/>
  <c r="L7" i="9"/>
  <c r="L15" i="6"/>
  <c r="M15" i="6" s="1"/>
  <c r="N15" i="6" s="1"/>
  <c r="O15" i="6" s="1"/>
  <c r="F80" i="8" s="1"/>
  <c r="L13" i="6"/>
  <c r="M13" i="6"/>
  <c r="L11" i="6"/>
  <c r="M11" i="6"/>
  <c r="N11" i="6" s="1"/>
  <c r="O11" i="6" s="1"/>
  <c r="F78" i="8" s="1"/>
  <c r="L9" i="6"/>
  <c r="M9" i="6" s="1"/>
  <c r="N9" i="6" s="1"/>
  <c r="O9" i="6" s="1"/>
  <c r="F77" i="8" s="1"/>
  <c r="G9" i="6"/>
  <c r="H9" i="6"/>
  <c r="I9" i="6"/>
  <c r="J9" i="6"/>
  <c r="L7" i="6"/>
  <c r="G7" i="6"/>
  <c r="H7" i="6"/>
  <c r="I7" i="6"/>
  <c r="J7" i="6"/>
  <c r="M7" i="6"/>
  <c r="G15" i="6"/>
  <c r="I15" i="6"/>
  <c r="P15" i="6"/>
  <c r="Q15" i="6"/>
  <c r="G13" i="6"/>
  <c r="I13" i="6"/>
  <c r="P13" i="6"/>
  <c r="Q13" i="6"/>
  <c r="G11" i="6"/>
  <c r="I11" i="6"/>
  <c r="P11" i="6"/>
  <c r="Q11" i="6"/>
  <c r="P9" i="6"/>
  <c r="Q9" i="6"/>
  <c r="P7" i="6"/>
  <c r="Q7" i="6"/>
  <c r="M14" i="3"/>
  <c r="M12" i="3"/>
  <c r="M10" i="3"/>
  <c r="M8" i="3"/>
  <c r="D6" i="3"/>
  <c r="L6" i="3"/>
  <c r="M6" i="3"/>
  <c r="H14" i="3"/>
  <c r="I14" i="3" s="1"/>
  <c r="J14" i="3" s="1"/>
  <c r="K14" i="3" s="1"/>
  <c r="F52" i="8" s="1"/>
  <c r="H12" i="3"/>
  <c r="I12" i="3" s="1"/>
  <c r="J12" i="3" s="1"/>
  <c r="K12" i="3" s="1"/>
  <c r="F51" i="8" s="1"/>
  <c r="H10" i="3"/>
  <c r="I10" i="3" s="1"/>
  <c r="J10" i="3" s="1"/>
  <c r="K10" i="3" s="1"/>
  <c r="F50" i="8" s="1"/>
  <c r="H8" i="3"/>
  <c r="I8" i="3" s="1"/>
  <c r="J8" i="3" s="1"/>
  <c r="K8" i="3" s="1"/>
  <c r="F49" i="8" s="1"/>
  <c r="H6" i="3"/>
  <c r="E6" i="3"/>
  <c r="I6" i="3"/>
  <c r="J6" i="3" s="1"/>
  <c r="K6" i="3" s="1"/>
  <c r="F48" i="8" s="1"/>
  <c r="K15" i="1"/>
  <c r="L15" i="1" s="1"/>
  <c r="M15" i="1" s="1"/>
  <c r="N15" i="1" s="1"/>
  <c r="F45" i="8" s="1"/>
  <c r="K13" i="1"/>
  <c r="L13" i="1" s="1"/>
  <c r="M13" i="1" s="1"/>
  <c r="N13" i="1" s="1"/>
  <c r="F44" i="8" s="1"/>
  <c r="K11" i="1"/>
  <c r="L11" i="1" s="1"/>
  <c r="M11" i="1" s="1"/>
  <c r="N11" i="1" s="1"/>
  <c r="F43" i="8" s="1"/>
  <c r="K9" i="1"/>
  <c r="L9" i="1" s="1"/>
  <c r="M9" i="1" s="1"/>
  <c r="N9" i="1" s="1"/>
  <c r="F42" i="8" s="1"/>
  <c r="K7" i="1"/>
  <c r="L7" i="1" s="1"/>
  <c r="M7" i="1" s="1"/>
  <c r="N7" i="1" s="1"/>
  <c r="F41" i="8" s="1"/>
  <c r="F15" i="1"/>
  <c r="O15" i="1"/>
  <c r="P15" i="1"/>
  <c r="F13" i="1"/>
  <c r="O13" i="1"/>
  <c r="P13" i="1"/>
  <c r="F11" i="1"/>
  <c r="O11" i="1"/>
  <c r="P11" i="1"/>
  <c r="F9" i="1"/>
  <c r="O9" i="1"/>
  <c r="P9" i="1"/>
  <c r="C20" i="1"/>
  <c r="H20" i="1"/>
  <c r="F7" i="1"/>
  <c r="O7" i="1"/>
  <c r="P7" i="1"/>
  <c r="H14" i="19"/>
  <c r="I14" i="19"/>
  <c r="H12" i="19"/>
  <c r="I12" i="19"/>
  <c r="H10" i="19"/>
  <c r="I10" i="19"/>
  <c r="H8" i="19"/>
  <c r="I8" i="19"/>
  <c r="Z14" i="13"/>
  <c r="Z12" i="13"/>
  <c r="Z10" i="13"/>
  <c r="Z8" i="13"/>
  <c r="E2" i="13"/>
  <c r="D143" i="8"/>
  <c r="D142" i="8"/>
  <c r="D141" i="8"/>
  <c r="D140" i="8"/>
  <c r="D139" i="8"/>
  <c r="K36" i="8"/>
  <c r="F2" i="19"/>
  <c r="D14" i="19"/>
  <c r="D12" i="19"/>
  <c r="D10" i="19"/>
  <c r="D8" i="19"/>
  <c r="H136" i="8"/>
  <c r="H135" i="8"/>
  <c r="H134" i="8"/>
  <c r="H133" i="8"/>
  <c r="H132" i="8"/>
  <c r="K35" i="8"/>
  <c r="G129" i="8"/>
  <c r="G128" i="8"/>
  <c r="G127" i="8"/>
  <c r="G126" i="8"/>
  <c r="G125" i="8"/>
  <c r="K34" i="8"/>
  <c r="AA14" i="13"/>
  <c r="H122" i="8"/>
  <c r="AA12" i="13"/>
  <c r="H121" i="8"/>
  <c r="AA10" i="13"/>
  <c r="H120" i="8"/>
  <c r="AA8" i="13"/>
  <c r="H119" i="8"/>
  <c r="H118" i="8"/>
  <c r="K33" i="8"/>
  <c r="F115" i="8"/>
  <c r="F114" i="8"/>
  <c r="F113" i="8"/>
  <c r="F112" i="8"/>
  <c r="F111" i="8"/>
  <c r="K32" i="8"/>
  <c r="E108" i="8"/>
  <c r="E107" i="8"/>
  <c r="E106" i="8"/>
  <c r="E105" i="8"/>
  <c r="E104" i="8"/>
  <c r="K31" i="8"/>
  <c r="F101" i="8"/>
  <c r="F100" i="8"/>
  <c r="F99" i="8"/>
  <c r="F98" i="8"/>
  <c r="F97" i="8"/>
  <c r="K30" i="8"/>
  <c r="E94" i="8"/>
  <c r="E93" i="8"/>
  <c r="E92" i="8"/>
  <c r="E91" i="8"/>
  <c r="E90" i="8"/>
  <c r="K29" i="8"/>
  <c r="G87" i="8"/>
  <c r="G86" i="8"/>
  <c r="G85" i="8"/>
  <c r="G84" i="8"/>
  <c r="G83" i="8"/>
  <c r="K28" i="8"/>
  <c r="G80" i="8"/>
  <c r="G79" i="8"/>
  <c r="G78" i="8"/>
  <c r="G77" i="8"/>
  <c r="G76" i="8"/>
  <c r="K27" i="8"/>
  <c r="K26" i="8"/>
  <c r="E73" i="8"/>
  <c r="E72" i="8"/>
  <c r="E71" i="8"/>
  <c r="E70" i="8"/>
  <c r="E69" i="8"/>
  <c r="G66" i="8"/>
  <c r="G65" i="8"/>
  <c r="G64" i="8"/>
  <c r="G63" i="8"/>
  <c r="G62" i="8"/>
  <c r="K25" i="8"/>
  <c r="C24" i="1"/>
  <c r="H24" i="1"/>
  <c r="C22" i="1"/>
  <c r="H22" i="1"/>
  <c r="E7" i="1"/>
  <c r="G7" i="1"/>
  <c r="H7" i="1"/>
  <c r="K24" i="8"/>
  <c r="E59" i="8"/>
  <c r="E58" i="8"/>
  <c r="E57" i="8"/>
  <c r="E56" i="8"/>
  <c r="E55" i="8"/>
  <c r="G45" i="8"/>
  <c r="G44" i="8"/>
  <c r="G43" i="8"/>
  <c r="G42" i="8"/>
  <c r="G41" i="8"/>
  <c r="K22" i="8"/>
  <c r="C36" i="8"/>
  <c r="C35" i="8"/>
  <c r="C34" i="8"/>
  <c r="C33" i="8"/>
  <c r="C32" i="8"/>
  <c r="C31" i="8"/>
  <c r="C30" i="8"/>
  <c r="C29" i="8"/>
  <c r="C28" i="8"/>
  <c r="C27" i="8"/>
  <c r="C26" i="8"/>
  <c r="C25" i="8"/>
  <c r="C24" i="8"/>
  <c r="C22" i="8"/>
  <c r="D8" i="3"/>
  <c r="L8" i="3"/>
  <c r="D10" i="3"/>
  <c r="L10" i="3"/>
  <c r="D12" i="3"/>
  <c r="L12" i="3"/>
  <c r="D14" i="3"/>
  <c r="L14" i="3"/>
  <c r="K23" i="8"/>
  <c r="C23" i="8"/>
  <c r="G52" i="8"/>
  <c r="G51" i="8"/>
  <c r="G50" i="8"/>
  <c r="G49" i="8"/>
  <c r="G48" i="8"/>
  <c r="A143" i="8"/>
  <c r="A142" i="8"/>
  <c r="A141" i="8"/>
  <c r="A140" i="8"/>
  <c r="E2" i="11"/>
  <c r="I7" i="1"/>
  <c r="E2" i="1"/>
  <c r="E9" i="1"/>
  <c r="H9" i="1"/>
  <c r="I9" i="1"/>
  <c r="H11" i="1"/>
  <c r="I11" i="1"/>
  <c r="C26" i="1"/>
  <c r="H26" i="1"/>
  <c r="H13" i="1"/>
  <c r="I13" i="1"/>
  <c r="C28" i="1"/>
  <c r="H28" i="1"/>
  <c r="E15" i="1"/>
  <c r="H15" i="1"/>
  <c r="I15" i="1"/>
  <c r="G132" i="8"/>
  <c r="G133" i="8"/>
  <c r="G134" i="8"/>
  <c r="G135" i="8"/>
  <c r="G136" i="8"/>
  <c r="B35" i="8"/>
  <c r="F125" i="8"/>
  <c r="F126" i="8"/>
  <c r="F127" i="8"/>
  <c r="F128" i="8"/>
  <c r="F129" i="8"/>
  <c r="B34" i="8"/>
  <c r="X6" i="13"/>
  <c r="Y6" i="13"/>
  <c r="G118" i="8" s="1"/>
  <c r="B33" i="8" s="1"/>
  <c r="E2" i="3"/>
  <c r="E8" i="3"/>
  <c r="E10" i="3"/>
  <c r="E12" i="3"/>
  <c r="E14" i="3"/>
  <c r="D55" i="8"/>
  <c r="D56" i="8"/>
  <c r="D57" i="8"/>
  <c r="D58" i="8"/>
  <c r="D59" i="8"/>
  <c r="B24" i="8"/>
  <c r="F62" i="8"/>
  <c r="F63" i="8"/>
  <c r="F64" i="8"/>
  <c r="F65" i="8"/>
  <c r="F66" i="8"/>
  <c r="B25" i="8"/>
  <c r="D69" i="8"/>
  <c r="D70" i="8"/>
  <c r="D71" i="8"/>
  <c r="D72" i="8"/>
  <c r="D73" i="8"/>
  <c r="B26" i="8"/>
  <c r="F3" i="6"/>
  <c r="N7" i="6"/>
  <c r="O7" i="6"/>
  <c r="F76" i="8" s="1"/>
  <c r="J11" i="6"/>
  <c r="J13" i="6"/>
  <c r="N13" i="6"/>
  <c r="O13" i="6"/>
  <c r="F79" i="8"/>
  <c r="J15" i="6"/>
  <c r="F83" i="8"/>
  <c r="F84" i="8"/>
  <c r="F85" i="8"/>
  <c r="F86" i="8"/>
  <c r="F87" i="8"/>
  <c r="B28" i="8"/>
  <c r="E2" i="9"/>
  <c r="D104" i="8"/>
  <c r="D105" i="8"/>
  <c r="D106" i="8"/>
  <c r="D107" i="8"/>
  <c r="D108" i="8"/>
  <c r="B31" i="8"/>
  <c r="E111" i="8"/>
  <c r="E112" i="8"/>
  <c r="E113" i="8"/>
  <c r="E114" i="8"/>
  <c r="E115" i="8"/>
  <c r="B32" i="8"/>
  <c r="B143" i="8"/>
  <c r="B142" i="8"/>
  <c r="B141" i="8"/>
  <c r="B140" i="8"/>
  <c r="B139" i="8"/>
  <c r="A139" i="8"/>
  <c r="A136" i="8"/>
  <c r="A135" i="8"/>
  <c r="A134" i="8"/>
  <c r="A133" i="8"/>
  <c r="A132" i="8"/>
  <c r="A129" i="8"/>
  <c r="A128" i="8"/>
  <c r="A127" i="8"/>
  <c r="A126" i="8"/>
  <c r="A125" i="8"/>
  <c r="A122" i="8"/>
  <c r="A121" i="8"/>
  <c r="A120" i="8"/>
  <c r="A119" i="8"/>
  <c r="A118" i="8"/>
  <c r="A115" i="8"/>
  <c r="A114" i="8"/>
  <c r="A113" i="8"/>
  <c r="A112" i="8"/>
  <c r="A111" i="8"/>
  <c r="A108" i="8"/>
  <c r="A107" i="8"/>
  <c r="A106" i="8"/>
  <c r="A105" i="8"/>
  <c r="A104" i="8"/>
  <c r="A101" i="8"/>
  <c r="A100" i="8"/>
  <c r="A99" i="8"/>
  <c r="A98" i="8"/>
  <c r="A97" i="8"/>
  <c r="A94" i="8"/>
  <c r="A93" i="8"/>
  <c r="A92" i="8"/>
  <c r="A91" i="8"/>
  <c r="A90" i="8"/>
  <c r="A87" i="8"/>
  <c r="A86" i="8"/>
  <c r="A85" i="8"/>
  <c r="A84" i="8"/>
  <c r="A83" i="8"/>
  <c r="A80" i="8"/>
  <c r="A79" i="8"/>
  <c r="A78" i="8"/>
  <c r="A77" i="8"/>
  <c r="A76" i="8"/>
  <c r="A28" i="6"/>
  <c r="A26" i="6"/>
  <c r="A24" i="6"/>
  <c r="A22" i="6"/>
  <c r="A20" i="6"/>
  <c r="A73" i="8"/>
  <c r="A72" i="8"/>
  <c r="A71" i="8"/>
  <c r="A70" i="8"/>
  <c r="A69" i="8"/>
  <c r="A66" i="8"/>
  <c r="A65" i="8"/>
  <c r="A64" i="8"/>
  <c r="A63" i="8"/>
  <c r="A62" i="8"/>
  <c r="A59" i="8"/>
  <c r="A58" i="8"/>
  <c r="A57" i="8"/>
  <c r="A56" i="8"/>
  <c r="A55" i="8"/>
  <c r="A52" i="8"/>
  <c r="A51" i="8"/>
  <c r="A50" i="8"/>
  <c r="A49" i="8"/>
  <c r="A48" i="8"/>
  <c r="A45" i="8"/>
  <c r="A44" i="8"/>
  <c r="A43" i="8"/>
  <c r="A42" i="8"/>
  <c r="A41" i="8"/>
  <c r="A28" i="1"/>
  <c r="A26" i="1"/>
  <c r="A24" i="1"/>
  <c r="A22" i="1"/>
  <c r="A20" i="1"/>
  <c r="E13" i="1"/>
  <c r="E11" i="1"/>
  <c r="F14" i="13"/>
  <c r="F12" i="13"/>
  <c r="F10" i="13"/>
  <c r="H15" i="6"/>
  <c r="G9" i="1"/>
  <c r="B101" i="8"/>
  <c r="B100" i="8"/>
  <c r="B99" i="8"/>
  <c r="F136" i="8"/>
  <c r="F135" i="8"/>
  <c r="F134" i="8"/>
  <c r="F133" i="8"/>
  <c r="F132" i="8"/>
  <c r="E136" i="8"/>
  <c r="E135" i="8"/>
  <c r="E134" i="8"/>
  <c r="E133" i="8"/>
  <c r="E132" i="8"/>
  <c r="C132" i="8"/>
  <c r="D132" i="8"/>
  <c r="C133" i="8"/>
  <c r="D133" i="8"/>
  <c r="C134" i="8"/>
  <c r="D134" i="8"/>
  <c r="C135" i="8"/>
  <c r="D135" i="8"/>
  <c r="C136" i="8"/>
  <c r="D136" i="8"/>
  <c r="B136" i="8"/>
  <c r="B135" i="8"/>
  <c r="B134" i="8"/>
  <c r="B133" i="8"/>
  <c r="B132" i="8"/>
  <c r="E129" i="8"/>
  <c r="E128" i="8"/>
  <c r="E127" i="8"/>
  <c r="E126" i="8"/>
  <c r="E125" i="8"/>
  <c r="C125" i="8"/>
  <c r="D125" i="8"/>
  <c r="C126" i="8"/>
  <c r="D126" i="8"/>
  <c r="C127" i="8"/>
  <c r="D127" i="8"/>
  <c r="C128" i="8"/>
  <c r="D128" i="8"/>
  <c r="C129" i="8"/>
  <c r="D129" i="8"/>
  <c r="B129" i="8"/>
  <c r="B128" i="8"/>
  <c r="B127" i="8"/>
  <c r="B126" i="8"/>
  <c r="B125" i="8"/>
  <c r="F122" i="8"/>
  <c r="F121" i="8"/>
  <c r="F120" i="8"/>
  <c r="F119" i="8"/>
  <c r="F118" i="8"/>
  <c r="E122" i="8"/>
  <c r="E121" i="8"/>
  <c r="E120" i="8"/>
  <c r="E119" i="8"/>
  <c r="E118" i="8"/>
  <c r="D122" i="8"/>
  <c r="D120" i="8"/>
  <c r="D121" i="8"/>
  <c r="D119" i="8"/>
  <c r="D118" i="8"/>
  <c r="C122" i="8"/>
  <c r="C121" i="8"/>
  <c r="C120" i="8"/>
  <c r="C119" i="8"/>
  <c r="C118" i="8"/>
  <c r="B122" i="8"/>
  <c r="B121" i="8"/>
  <c r="B120" i="8"/>
  <c r="B119" i="8"/>
  <c r="B118" i="8"/>
  <c r="C108" i="8"/>
  <c r="C107" i="8"/>
  <c r="C106" i="8"/>
  <c r="C105" i="8"/>
  <c r="C104" i="8"/>
  <c r="B108" i="8"/>
  <c r="B107" i="8"/>
  <c r="B106" i="8"/>
  <c r="B105" i="8"/>
  <c r="B104" i="8"/>
  <c r="D101" i="8"/>
  <c r="D100" i="8"/>
  <c r="D99" i="8"/>
  <c r="D98" i="8"/>
  <c r="D97" i="8"/>
  <c r="C101" i="8"/>
  <c r="C100" i="8"/>
  <c r="C99" i="8"/>
  <c r="C98" i="8"/>
  <c r="C97" i="8"/>
  <c r="B98" i="8"/>
  <c r="B97" i="8"/>
  <c r="C73" i="8"/>
  <c r="C72" i="8"/>
  <c r="C71" i="8"/>
  <c r="C70" i="8"/>
  <c r="C69" i="8"/>
  <c r="B73" i="8"/>
  <c r="B72" i="8"/>
  <c r="B71" i="8"/>
  <c r="B70" i="8"/>
  <c r="B69" i="8"/>
  <c r="E87" i="8"/>
  <c r="E86" i="8"/>
  <c r="E85" i="8"/>
  <c r="E84" i="8"/>
  <c r="E83" i="8"/>
  <c r="C94" i="8"/>
  <c r="C93" i="8"/>
  <c r="C92" i="8"/>
  <c r="C91" i="8"/>
  <c r="C90" i="8"/>
  <c r="B94" i="8"/>
  <c r="B93" i="8"/>
  <c r="B92" i="8"/>
  <c r="B91" i="8"/>
  <c r="B90" i="8"/>
  <c r="D87" i="8"/>
  <c r="D86" i="8"/>
  <c r="D85" i="8"/>
  <c r="D84" i="8"/>
  <c r="D83" i="8"/>
  <c r="C87" i="8"/>
  <c r="C86" i="8"/>
  <c r="C85" i="8"/>
  <c r="C84" i="8"/>
  <c r="C83" i="8"/>
  <c r="B87" i="8"/>
  <c r="B86" i="8"/>
  <c r="B85" i="8"/>
  <c r="B84" i="8"/>
  <c r="B83" i="8"/>
  <c r="E80" i="8"/>
  <c r="E79" i="8"/>
  <c r="E78" i="8"/>
  <c r="E77" i="8"/>
  <c r="E76" i="8"/>
  <c r="D80" i="8"/>
  <c r="D79" i="8"/>
  <c r="D78" i="8"/>
  <c r="D77" i="8"/>
  <c r="D76" i="8"/>
  <c r="C80" i="8"/>
  <c r="C79" i="8"/>
  <c r="C78" i="8"/>
  <c r="C77" i="8"/>
  <c r="C76" i="8"/>
  <c r="B79" i="8"/>
  <c r="B80" i="8"/>
  <c r="B78" i="8"/>
  <c r="B77" i="8"/>
  <c r="B76" i="8"/>
  <c r="H13" i="6"/>
  <c r="H11" i="6"/>
  <c r="D115" i="8"/>
  <c r="D114" i="8"/>
  <c r="D113" i="8"/>
  <c r="D112" i="8"/>
  <c r="D111" i="8"/>
  <c r="C113" i="8"/>
  <c r="C114" i="8"/>
  <c r="C115" i="8"/>
  <c r="C112" i="8"/>
  <c r="C111" i="8"/>
  <c r="B115" i="8"/>
  <c r="B113" i="8"/>
  <c r="B114" i="8"/>
  <c r="B112" i="8"/>
  <c r="B111" i="8"/>
  <c r="E66" i="8"/>
  <c r="E65" i="8"/>
  <c r="E64" i="8"/>
  <c r="E63" i="8"/>
  <c r="D66" i="8"/>
  <c r="D65" i="8"/>
  <c r="D64" i="8"/>
  <c r="D63" i="8"/>
  <c r="D62" i="8"/>
  <c r="C66" i="8"/>
  <c r="C65" i="8"/>
  <c r="C64" i="8"/>
  <c r="C63" i="8"/>
  <c r="B66" i="8"/>
  <c r="B65" i="8"/>
  <c r="B64" i="8"/>
  <c r="B63" i="8"/>
  <c r="E62" i="8"/>
  <c r="C62" i="8"/>
  <c r="B62" i="8"/>
  <c r="E45" i="8"/>
  <c r="E44" i="8"/>
  <c r="E43" i="8"/>
  <c r="E42" i="8"/>
  <c r="E41" i="8"/>
  <c r="C59" i="8"/>
  <c r="C58" i="8"/>
  <c r="C57" i="8"/>
  <c r="C56" i="8"/>
  <c r="C55" i="8"/>
  <c r="B59" i="8"/>
  <c r="B58" i="8"/>
  <c r="B57" i="8"/>
  <c r="B56" i="8"/>
  <c r="B55" i="8"/>
  <c r="E52" i="8"/>
  <c r="E51" i="8"/>
  <c r="D52" i="8"/>
  <c r="D51" i="8"/>
  <c r="C52" i="8"/>
  <c r="C51" i="8"/>
  <c r="B52" i="8"/>
  <c r="B51" i="8"/>
  <c r="E50" i="8"/>
  <c r="D50" i="8"/>
  <c r="C50" i="8"/>
  <c r="B50" i="8"/>
  <c r="E49" i="8"/>
  <c r="D49" i="8"/>
  <c r="C49" i="8"/>
  <c r="B49" i="8"/>
  <c r="E48" i="8"/>
  <c r="D48" i="8"/>
  <c r="C48" i="8"/>
  <c r="B48" i="8"/>
  <c r="D45" i="8"/>
  <c r="D44" i="8"/>
  <c r="D43" i="8"/>
  <c r="B45" i="8"/>
  <c r="B44" i="8"/>
  <c r="B43" i="8"/>
  <c r="C45" i="8"/>
  <c r="C44" i="8"/>
  <c r="C43" i="8"/>
  <c r="D42" i="8"/>
  <c r="C42" i="8"/>
  <c r="B42" i="8"/>
  <c r="G15" i="1"/>
  <c r="G13" i="1"/>
  <c r="G11" i="1"/>
  <c r="D41" i="8"/>
  <c r="C41" i="8"/>
  <c r="B41" i="8"/>
  <c r="B22" i="8" l="1"/>
  <c r="B30" i="8"/>
  <c r="B23" i="8"/>
  <c r="B29" i="8"/>
  <c r="B27" i="8"/>
  <c r="F21"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<sst xmlns="http://schemas.openxmlformats.org/spreadsheetml/2006/main" count="453" uniqueCount="270">
  <si>
    <t>Centrifugal Pumps</t>
  </si>
  <si>
    <t>(gal/min)</t>
  </si>
  <si>
    <t xml:space="preserve">Q </t>
  </si>
  <si>
    <t xml:space="preserve">H </t>
  </si>
  <si>
    <t>(ft)</t>
  </si>
  <si>
    <t>S</t>
  </si>
  <si>
    <t>(hp)</t>
  </si>
  <si>
    <t>(gpm)(ft)^.5</t>
  </si>
  <si>
    <t>CB</t>
  </si>
  <si>
    <t>FT</t>
  </si>
  <si>
    <t>FM</t>
  </si>
  <si>
    <t>CP</t>
  </si>
  <si>
    <t>FBM</t>
  </si>
  <si>
    <t>$ (Given CE)</t>
  </si>
  <si>
    <t>CBM</t>
  </si>
  <si>
    <t>Electric Motors</t>
  </si>
  <si>
    <t>Q</t>
  </si>
  <si>
    <t>H</t>
  </si>
  <si>
    <t>PB</t>
  </si>
  <si>
    <t>ρ</t>
  </si>
  <si>
    <t>(lb/gal)</t>
  </si>
  <si>
    <t>ηp</t>
  </si>
  <si>
    <t>ηm</t>
  </si>
  <si>
    <t>Given Q, H, ρ</t>
  </si>
  <si>
    <t>Given PB</t>
  </si>
  <si>
    <t>PC</t>
  </si>
  <si>
    <t>Reciprocating Plunger Pumps</t>
  </si>
  <si>
    <t>External Gear Pumps</t>
  </si>
  <si>
    <t>Fired Heaters</t>
  </si>
  <si>
    <t>see below</t>
  </si>
  <si>
    <t>psig</t>
  </si>
  <si>
    <t>Centrifugal (turbo) blower</t>
  </si>
  <si>
    <t>Qi</t>
  </si>
  <si>
    <t>ft^3/min</t>
  </si>
  <si>
    <t>Pi</t>
  </si>
  <si>
    <t>Po</t>
  </si>
  <si>
    <t>lbf/in^2</t>
  </si>
  <si>
    <t>ηB</t>
  </si>
  <si>
    <t>k</t>
  </si>
  <si>
    <t>hp</t>
  </si>
  <si>
    <t>Possible Values of FM</t>
  </si>
  <si>
    <t xml:space="preserve">Aluminum </t>
  </si>
  <si>
    <t>Fiberglass</t>
  </si>
  <si>
    <t>Stainless Steel</t>
  </si>
  <si>
    <t>Nickel Alloy</t>
  </si>
  <si>
    <t>Given Pc</t>
  </si>
  <si>
    <t>Pc</t>
  </si>
  <si>
    <t>Bare Module Cost Analysis Worksheet</t>
  </si>
  <si>
    <t>Instructions (Read Carefully Before Using!!!)</t>
  </si>
  <si>
    <t>Input</t>
  </si>
  <si>
    <t>Bare Module Cost</t>
  </si>
  <si>
    <t>Gas</t>
  </si>
  <si>
    <t>Carbon Steel</t>
  </si>
  <si>
    <t>Steam</t>
  </si>
  <si>
    <t>Cast iron</t>
  </si>
  <si>
    <t>Electric</t>
  </si>
  <si>
    <t>Possible FM values</t>
  </si>
  <si>
    <t>Possible FD values</t>
  </si>
  <si>
    <t>(screw, centrifugal, reciprocating)</t>
  </si>
  <si>
    <t>Cp</t>
  </si>
  <si>
    <t>FD</t>
  </si>
  <si>
    <t>Cb</t>
  </si>
  <si>
    <t>Compressor Type</t>
  </si>
  <si>
    <t>Compressors</t>
  </si>
  <si>
    <t>Fm</t>
  </si>
  <si>
    <t>Type of Fan</t>
  </si>
  <si>
    <t>Fans</t>
  </si>
  <si>
    <t>See below</t>
  </si>
  <si>
    <t>$(Given CE)</t>
  </si>
  <si>
    <t>ft^2</t>
  </si>
  <si>
    <t>FL</t>
  </si>
  <si>
    <t>Fp</t>
  </si>
  <si>
    <t>Pressure</t>
  </si>
  <si>
    <t>b</t>
  </si>
  <si>
    <t>a</t>
  </si>
  <si>
    <t xml:space="preserve">Surface Area </t>
  </si>
  <si>
    <t>Heat Exchanger Design</t>
  </si>
  <si>
    <t>Shell and Tube Heat Exchangers</t>
  </si>
  <si>
    <t>Type</t>
  </si>
  <si>
    <t>Di</t>
  </si>
  <si>
    <t>L</t>
  </si>
  <si>
    <t>Pd</t>
  </si>
  <si>
    <t>E</t>
  </si>
  <si>
    <t xml:space="preserve">tp </t>
  </si>
  <si>
    <t>Weight</t>
  </si>
  <si>
    <t>Cv</t>
  </si>
  <si>
    <t>Cpl</t>
  </si>
  <si>
    <t>ft</t>
  </si>
  <si>
    <t>lb/ft^3</t>
  </si>
  <si>
    <t>lb</t>
  </si>
  <si>
    <t>Nt</t>
  </si>
  <si>
    <t>Ftt</t>
  </si>
  <si>
    <t>Cbm</t>
  </si>
  <si>
    <t>Note: if carbon steel, S = 13750</t>
  </si>
  <si>
    <t>psi (see below)</t>
  </si>
  <si>
    <t>Equipment</t>
  </si>
  <si>
    <t>Centrifugal (turbo) Blower</t>
  </si>
  <si>
    <t>Rotary Straight Lobe Blower</t>
  </si>
  <si>
    <t>Shell and Tube Heat Exchanger</t>
  </si>
  <si>
    <t>Double Pipe Heat Exchanger</t>
  </si>
  <si>
    <t>Pressure Vessel</t>
  </si>
  <si>
    <t>Packed Column</t>
  </si>
  <si>
    <t>Tray Column</t>
  </si>
  <si>
    <t>Total Bare module Cost=</t>
  </si>
  <si>
    <t>Q (gal/min)</t>
  </si>
  <si>
    <t>H (ft)</t>
  </si>
  <si>
    <t>Ft</t>
  </si>
  <si>
    <t>Pb (hp)</t>
  </si>
  <si>
    <t>Q (BTU/hr)</t>
  </si>
  <si>
    <t>Pressure (psig)</t>
  </si>
  <si>
    <t>Centrifugal Blower</t>
  </si>
  <si>
    <t>Qi (cuft/min)</t>
  </si>
  <si>
    <t>Pi (lbf/in2)</t>
  </si>
  <si>
    <t>Po (lbf/in2)</t>
  </si>
  <si>
    <t>Rotary Straight-Lobe Blowers</t>
  </si>
  <si>
    <t>Qi (ft^3/min)</t>
  </si>
  <si>
    <t>Pi (lbf/in^2)</t>
  </si>
  <si>
    <t>Po(lbf/in^2)</t>
  </si>
  <si>
    <t>Pc (hp)</t>
  </si>
  <si>
    <t>Compressor</t>
  </si>
  <si>
    <t>Q (ACFM)</t>
  </si>
  <si>
    <t>Surface Area  (ft^2)</t>
  </si>
  <si>
    <t>Surface Area (ft^2)</t>
  </si>
  <si>
    <t>Pressure vessel</t>
  </si>
  <si>
    <t>Di (ft)</t>
  </si>
  <si>
    <t>L (ft)</t>
  </si>
  <si>
    <t>Vp (ft^3)</t>
  </si>
  <si>
    <t>L(ft)</t>
  </si>
  <si>
    <t>Total Cbm For each Unit Op</t>
  </si>
  <si>
    <t>All costing from:</t>
  </si>
  <si>
    <t>Product and Process Design Principles</t>
  </si>
  <si>
    <t>CE Cost Index for this Estimate</t>
  </si>
  <si>
    <t>2. Select the link below for the appropriate unit operation.  Links provided at the top of each worksheet will return back to this title page.</t>
  </si>
  <si>
    <t>3. Enter all data into the yellow boxes ONLY.  For a process involving multiple sizes of the same type unit operations, use a different line to input the specs (up to 5 provided)</t>
  </si>
  <si>
    <t>4. The Bare Module Cost of the Unit Operation is calculated and shown in red.</t>
  </si>
  <si>
    <t>$ (CE=567)</t>
  </si>
  <si>
    <t>$(CE=567)</t>
  </si>
  <si>
    <t>CE =</t>
  </si>
  <si>
    <t>FBM =</t>
  </si>
  <si>
    <t xml:space="preserve">CE = </t>
  </si>
  <si>
    <t>4th Edition</t>
  </si>
  <si>
    <t>© Seider, Lewin, Seader, Widagdo, Gani, Ng, 2017</t>
  </si>
  <si>
    <t>Version</t>
  </si>
  <si>
    <t>Comments</t>
  </si>
  <si>
    <t>Original version by Prof. Russell Dunn (Vanderbilt)</t>
  </si>
  <si>
    <t xml:space="preserve">     Add units of psig for Pd</t>
  </si>
  <si>
    <t>inch</t>
  </si>
  <si>
    <t>tw</t>
  </si>
  <si>
    <t>taverage</t>
  </si>
  <si>
    <t>Include=Y</t>
  </si>
  <si>
    <t>ts</t>
  </si>
  <si>
    <t>Corrosion tc</t>
  </si>
  <si>
    <t>tsrounded</t>
  </si>
  <si>
    <t xml:space="preserve">     Adjust column widths to fit more on screen</t>
  </si>
  <si>
    <t xml:space="preserve">     Add stainless steel maximum allowable stress comment</t>
  </si>
  <si>
    <t>Note: see text for vacuum vessels</t>
  </si>
  <si>
    <t xml:space="preserve">     Add note about vacuum vessels</t>
  </si>
  <si>
    <t xml:space="preserve">     Check for minimum thickness for ridigity</t>
  </si>
  <si>
    <t>Summary page</t>
  </si>
  <si>
    <t>Fix hyperlink to Summary sheet on all tabs</t>
  </si>
  <si>
    <t>Add this tab of revisions</t>
  </si>
  <si>
    <t>Several changes for pressure vessels, packed &amp; tray columns:</t>
  </si>
  <si>
    <t>Potential Values for S (low alloy steel):</t>
  </si>
  <si>
    <t>For 304 Stainless, S = 11200</t>
  </si>
  <si>
    <t xml:space="preserve">     Don't display values after decimal point for design pressure or weight</t>
  </si>
  <si>
    <t xml:space="preserve">     Include above additions in total thickness, round up plate thickness and use in vessel weight</t>
  </si>
  <si>
    <t xml:space="preserve">     Add corrosion allowance, with default value of 0.125 inch</t>
  </si>
  <si>
    <t xml:space="preserve">     Default density of 490 for steel, since that is reasonable for many materials</t>
  </si>
  <si>
    <t>Several tabs - drop-down list of types of equipment for fans, compressors, heat exchangers, pressure vessels (horizontal/vertial), type of column packing, distillation tray material, and simplify equations using those values</t>
  </si>
  <si>
    <t xml:space="preserve">     tp equation should not include division by 12, since Di is included in calculations in feet</t>
  </si>
  <si>
    <t>Update heat exchanger cost correlation coefficients to match textbook</t>
  </si>
  <si>
    <t>Correct "303 Stainless Steel" to "304 Stainless Steel" on distillation tray material (typo in textbook)</t>
  </si>
  <si>
    <t>Revisions by Prof. Bruce Vrana (Penn) 3/30/17:</t>
  </si>
  <si>
    <t>Left justify cell A1 on most tabs, where centered text was not totally visible on screen, and an occasional other label in column A</t>
  </si>
  <si>
    <t>Blank out input values for several pieces of equipment</t>
  </si>
  <si>
    <t>Pressure vessel cpl equation coefficients updated to match textbook for horizontal vessel</t>
  </si>
  <si>
    <t xml:space="preserve">     Add comment on stress table - low alloy steel</t>
  </si>
  <si>
    <t xml:space="preserve">     Add wind loading/earthquake dropdown list to include or not, and include only if vertical (pressure vessel)</t>
  </si>
  <si>
    <t xml:space="preserve">     Made material density an input (yellow) on the tabs for columns</t>
  </si>
  <si>
    <t>Cost of liquid distributor is $140/ft2 (packed column)</t>
  </si>
  <si>
    <t>CE Index for structured packing changed to 567 (equation wasn't correct with original shown index of 500)</t>
  </si>
  <si>
    <t xml:space="preserve">     Add IFERROR to weight calculations, returning 0 if the inputs are not given so thickness is an error, avoiding problem with total cost on Summary Page</t>
  </si>
  <si>
    <t>Equation for column packing only cost Cp included the cost of the tower - removed this term.  Also test for "structured" as opposed to a cost of 285, which could change.</t>
  </si>
  <si>
    <t>Packed columns incorrectly using CE Index of 500 in equations - switched to 567</t>
  </si>
  <si>
    <t>Default value for Fm of 1 for Pressure vessels and columns, to avoid the value of Cpl being mistaken for the correct value if no value of Fm is input</t>
  </si>
  <si>
    <t>Pressure vessels - apply bare module factor to calculate bare module cost and use on summary sheet, previously only equipment cost CP was used, not Cbm</t>
  </si>
  <si>
    <t>Revisions by Prof. Bruce Vrana (Penn) 4/7/17:</t>
  </si>
  <si>
    <t>Pressure Vessels</t>
  </si>
  <si>
    <t>Wind/Earthquake?</t>
  </si>
  <si>
    <t>Electric Motors - error check on formula for np</t>
  </si>
  <si>
    <t>Name</t>
  </si>
  <si>
    <t>Reorder equipment types at top and bottom of Summary page to match order in textbook (same as order of tabs in workbook)</t>
  </si>
  <si>
    <t>Pressure vessels, packed and trayed columns - error check on tp formula to give zero if denominator is zero</t>
  </si>
  <si>
    <t>Packed and trayed columns - move table over to start in column A</t>
  </si>
  <si>
    <t>Packed and trayed columns - error check formula for tw to give zero if denominator is zero</t>
  </si>
  <si>
    <t>Imported all tables again for table numbers from 4th Edition</t>
  </si>
  <si>
    <t>Add table 16.23 - operating ranges of fans</t>
  </si>
  <si>
    <t>Cast Iron</t>
  </si>
  <si>
    <t>Both blowers - move and reformat FM table, add 1.0 for cast iron</t>
  </si>
  <si>
    <t>Double pipe exchanger - Fm = 3 if both pipes stainless</t>
  </si>
  <si>
    <t>Revisions by Prof. Bruce Vrana (Penn) 1/14/18:</t>
  </si>
  <si>
    <t>All - column A for equipment name or number specified by user, unlock cell, formula on Summary tab to show names if entered on equipment tab, show name in second table below for pumps (Given Pb)</t>
  </si>
  <si>
    <t>Minor formatting on summary page</t>
  </si>
  <si>
    <t>Added storage tanks tab, links in summary</t>
  </si>
  <si>
    <t>Storage Tanks</t>
  </si>
  <si>
    <t>V</t>
  </si>
  <si>
    <t>U.S. gal</t>
  </si>
  <si>
    <t>Note: Carbon steel only</t>
  </si>
  <si>
    <t>Max pressure 3 psig</t>
  </si>
  <si>
    <t>See text for open roof, spheres</t>
  </si>
  <si>
    <t>Cone roof for low vapor pressure, requires vent system</t>
  </si>
  <si>
    <t>Floating roof to prevent evaporation</t>
  </si>
  <si>
    <t>V (gal)</t>
  </si>
  <si>
    <t>Check</t>
  </si>
  <si>
    <t>Fp - pressure factor - never less than 1 for shell &amp; tube, double pipe exchangers, fired heaters</t>
  </si>
  <si>
    <t>Added checks to warn user if they are extrapolating outside the recommended ranges of the equations, ignoring platforms &amp; ladders for pressure vessels and columns, and trays</t>
  </si>
  <si>
    <t>6. Below are the individual unit bare module costs and compiled tables of each type of unit operation, summarizing the different properties.</t>
  </si>
  <si>
    <t xml:space="preserve">7. Total Bare Module Cost for all types of all equipment is also displayed below.  </t>
  </si>
  <si>
    <t>Added extrapolation checking to the instructions on the front page</t>
  </si>
  <si>
    <t>Extrapolation check</t>
  </si>
  <si>
    <t xml:space="preserve"> </t>
  </si>
  <si>
    <t>Revisions by Prof. Bruce Vrana (Penn) 11/26/18 and 12/27/18:</t>
  </si>
  <si>
    <t>Average thickness of vessels and columns - change formula to be more self-documenting (less confusing)</t>
  </si>
  <si>
    <t>Double pipe exchangers - lock entire sheet except specified inputs</t>
  </si>
  <si>
    <t>Revisions by Prof. Bruce Vrana (Penn) 2/4/23</t>
  </si>
  <si>
    <t>New CE Index of 820</t>
  </si>
  <si>
    <t>Reduced FBM for storage tanks from 4 to 3</t>
  </si>
  <si>
    <t>Moved some tables to be closer to the columns where they are used</t>
  </si>
  <si>
    <t>Weld Efficiency</t>
  </si>
  <si>
    <t>Added explanation of E (weld efficiency) for pressure vessels and columns, drop-down list for values</t>
  </si>
  <si>
    <t>Add a second, lower FBM for column packing and trays to reflect no incremental piping, instrumentation, electrical, etc. for column internals</t>
  </si>
  <si>
    <t>Add extrapolation warning if pressure vessel or column diameter &lt; 3 ft or &gt; 24 ft (note partial conflict with previous item) or length &lt; 27 ft or &gt; 170 ft - for platforms &amp; ladders cost</t>
  </si>
  <si>
    <t>Add extrapolation warning if trayed column diameter &lt; 2 ft or &gt; 16 ft - for tray costs (note partial conflict with following item - the more restrictive limit applies to trayed columns)</t>
  </si>
  <si>
    <t>Add extrapolation warning if weld efficiency or stress is omitted (tp=0) for pressure vessels and columns</t>
  </si>
  <si>
    <t>Revised extrapolation warning for storage tanks to recommend using pressure vessels if the volume is small, and add to comments</t>
  </si>
  <si>
    <t>Consider using a pressure vessel for small storage tanks</t>
  </si>
  <si>
    <t>Table 16.22</t>
  </si>
  <si>
    <t>Revisions by Prof. Bruce Vrana (Penn) 12/23</t>
  </si>
  <si>
    <t>New CE Index of 800</t>
  </si>
  <si>
    <t>Changed table numbers for 4th edition</t>
  </si>
  <si>
    <t>Improved extrapolation warnings to say what is being extrapolated</t>
  </si>
  <si>
    <t>Table 16.20</t>
  </si>
  <si>
    <t>Table 16.21</t>
  </si>
  <si>
    <t>Table 16.25</t>
  </si>
  <si>
    <t>Metal ρ</t>
  </si>
  <si>
    <t>Table 16.26</t>
  </si>
  <si>
    <t>State Metal density for pressure vessels and columns for clarity (was just density)</t>
  </si>
  <si>
    <t>Lock CE cells to avoid error messages</t>
  </si>
  <si>
    <t>1. Input the CE cost index below that corresponds to the date when you want the cost estimate (e.g. a 2024 CE will provide 2024 costs for equipment) .  The CE index will automatically update each page accordingly.</t>
  </si>
  <si>
    <t>5. If you are extrapolating the cost correlations, the spreadsheet will warn you.  Use outside those ranges very carefully, as the correlation may not extrapolate well, or the equipment may not be fabricable even if the correlation is smooth.</t>
  </si>
  <si>
    <t>Worksheet initially prepared by Prof. Russell Dunn, Department of Chemical and Biomolecular Engineering, Vanderbilt University</t>
  </si>
  <si>
    <t>Revised extensively by Prof. Bruce Vrana, Department of Chemical and Biomolecular Engineering, University of Pennsylvania</t>
  </si>
  <si>
    <t>Format weight on Summary tab</t>
  </si>
  <si>
    <t>Centrifugal Compressor</t>
  </si>
  <si>
    <t>Exp Turbine</t>
  </si>
  <si>
    <t>Stage 1</t>
  </si>
  <si>
    <t>Stage 2</t>
  </si>
  <si>
    <t>Stage 3</t>
  </si>
  <si>
    <t>N</t>
  </si>
  <si>
    <t>SEPARATOR1</t>
  </si>
  <si>
    <t xml:space="preserve">SEPARATOR2 </t>
  </si>
  <si>
    <t>SEPARATOR3</t>
  </si>
  <si>
    <t>Horizontal</t>
  </si>
  <si>
    <t>STORAGE TANK</t>
  </si>
  <si>
    <t>Multi-Comp</t>
  </si>
  <si>
    <t>SV VESSEL</t>
  </si>
  <si>
    <t>Vertical</t>
  </si>
  <si>
    <t>Fixed Head</t>
  </si>
  <si>
    <t>Chiller</t>
  </si>
  <si>
    <t>Heat 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</si>
</sst>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2" formatCode="_(&quot;$&quot;* #,##0_);_(&quot;$&quot;* \(#,##0\);_(&quot;$&quot;* &quot;-&quot;_);_(@_)"/>
    <numFmt numFmtId="44" formatCode="_(&quot;$&quot;* #,##0.00_);_(&quot;$&quot;* \(#,##0.00\);_(&quot;$&quot;* &quot;-&quot;??_);_(@_)"/>
    <numFmt numFmtId="164" formatCode="0.0"/>
    <numFmt numFmtId="165" formatCode="0.0000"/>
    <numFmt numFmtId="166" formatCode="0.00000"/>
    <numFmt numFmtId="167" formatCode="0.000"/>
  </numFmts>
  <fonts count="19" x14ac:knownFonts="1">
    <font>
      <sz val="12"/>
      <color theme="1"/>
      <name val="Calibri"/>
      <family val="2"/>
      <scheme val="minor"/>
    </font>
    <font>
      <sz val="12"/>
      <color indexed="8"/>
      <name val="Calibri"/>
      <family val="2"/>
    </font>
    <font>
      <b/>
      <sz val="12"/>
      <color indexed="8"/>
      <name val="Calibri"/>
      <family val="2"/>
    </font>
    <font>
      <i/>
      <sz val="12"/>
      <color indexed="8"/>
      <name val="Calibri"/>
      <family val="2"/>
    </font>
    <font>
      <sz val="8"/>
      <name val="Calibri"/>
      <family val="2"/>
    </font>
    <font>
      <b/>
      <sz val="12"/>
      <color indexed="10"/>
      <name val="Calibri"/>
      <family val="2"/>
    </font>
    <font>
      <b/>
      <sz val="18"/>
      <color indexed="8"/>
      <name val="Calibri"/>
      <family val="2"/>
    </font>
    <font>
      <i/>
      <sz val="11"/>
      <color indexed="8"/>
      <name val="Calibri"/>
      <family val="2"/>
    </font>
    <font>
      <b/>
      <sz val="11"/>
      <color indexed="8"/>
      <name val="Calibri"/>
      <family val="2"/>
    </font>
    <font>
      <u/>
      <sz val="12"/>
      <color theme="10"/>
      <name val="Calibri"/>
      <family val="2"/>
      <scheme val="minor"/>
    </font>
    <font>
      <b/>
      <sz val="12"/>
      <color theme="1"/>
      <name val="Calibri"/>
      <family val="2"/>
      <scheme val="minor"/>
    </font>
    <font>
      <u/>
      <sz val="12"/>
      <color theme="11"/>
      <name val="Calibri"/>
      <family val="2"/>
      <scheme val="minor"/>
    </font>
    <font>
      <sz val="12"/>
      <color rgb="FF000000"/>
      <name val="Calibri"/>
      <family val="2"/>
      <scheme val="minor"/>
    </font>
    <font>
      <b/>
      <u/>
      <sz val="12"/>
      <color theme="10"/>
      <name val="Calibri"/>
      <family val="2"/>
      <scheme val="minor"/>
    </font>
    <font>
      <b/>
      <sz val="12"/>
      <color rgb="FFFF0000"/>
      <name val="Calibri"/>
      <family val="2"/>
      <scheme val="minor"/>
    </font>
    <font>
      <b/>
      <sz val="12"/>
      <color rgb="FF008000"/>
      <name val="Calibri"/>
      <family val="2"/>
      <scheme val="minor"/>
    </font>
    <font>
      <sz val="12"/>
      <name val="Calibri"/>
      <family val="2"/>
    </font>
    <font>
      <sz val="8"/>
      <color theme="1"/>
      <name val="Calibri"/>
      <family val="2"/>
      <scheme val="minor"/>
    </font>
    <font>
      <sz val="12"/>
      <color rgb="FFFF0000"/>
      <name val="Calibri"/>
      <family val="2"/>
      <scheme val="minor"/>
    </font>
  </fonts>
  <fills count="4">
    <fill>
      <patternFill patternType="none"/>
    </fill>
    <fill>
      <patternFill patternType="gray125"/>
    </fill>
    <fill>
      <patternFill patternType="solid">
        <fgColor indexed="13"/>
        <bgColor indexed="64"/>
      </patternFill>
    </fill>
    <fill>
      <patternFill patternType="solid">
        <fgColor rgb="FFFFFF00"/>
        <bgColor indexed="64"/>
      </patternFill>
    </fill>
  </fills>
  <borders count="3">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65">
    <xf numFmtId="0" fontId="0" fillId="0" borderId="0"/>
    <xf numFmtId="44" fontId="1" fillId="0" borderId="0" applyFont="0" applyFill="0" applyBorder="0" applyAlignment="0" applyProtection="0"/>
    <xf numFmtId="0" fontId="9"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cellStyleXfs>
  <cellXfs count="70">
    <xf numFmtId="0" fontId="0" fillId="0" borderId="0" xfId="0"/>
    <xf numFmtId="0" fontId="2" fillId="0" borderId="0" xfId="0" applyFont="1"/>
    <xf numFmtId="0" fontId="0" fillId="0" borderId="0" xfId="0" applyAlignment="1">
      <alignment wrapText="1"/>
    </xf>
    <xf numFmtId="0" fontId="3" fillId="0" borderId="0" xfId="0" applyFont="1"/>
    <xf numFmtId="0" fontId="0" fillId="2" borderId="0" xfId="0" applyFill="1" applyProtection="1">
      <protection locked="0"/>
    </xf>
    <xf numFmtId="0" fontId="0" fillId="2" borderId="0" xfId="0" applyFill="1"/>
    <xf numFmtId="0" fontId="6" fillId="0" borderId="0" xfId="0" applyFont="1"/>
    <xf numFmtId="0" fontId="5" fillId="0" borderId="0" xfId="0" applyFont="1"/>
    <xf numFmtId="0" fontId="0" fillId="0" borderId="1" xfId="0" applyBorder="1"/>
    <xf numFmtId="0" fontId="9" fillId="0" borderId="0" xfId="2" applyBorder="1"/>
    <xf numFmtId="0" fontId="0" fillId="0" borderId="0" xfId="0" applyAlignment="1">
      <alignment horizontal="left"/>
    </xf>
    <xf numFmtId="1" fontId="0" fillId="0" borderId="1" xfId="0" applyNumberFormat="1" applyBorder="1"/>
    <xf numFmtId="1" fontId="0" fillId="0" borderId="0" xfId="0" applyNumberFormat="1"/>
    <xf numFmtId="2" fontId="0" fillId="0" borderId="1" xfId="0" applyNumberFormat="1" applyBorder="1"/>
    <xf numFmtId="0" fontId="10" fillId="0" borderId="0" xfId="0" applyFont="1"/>
    <xf numFmtId="11" fontId="0" fillId="0" borderId="1" xfId="0" applyNumberFormat="1" applyBorder="1"/>
    <xf numFmtId="0" fontId="1" fillId="0" borderId="1" xfId="0" applyFont="1" applyBorder="1"/>
    <xf numFmtId="0" fontId="3" fillId="0" borderId="1" xfId="0" applyFont="1" applyBorder="1"/>
    <xf numFmtId="0" fontId="1" fillId="0" borderId="1" xfId="0" applyFont="1" applyBorder="1" applyProtection="1">
      <protection locked="0"/>
    </xf>
    <xf numFmtId="0" fontId="0" fillId="0" borderId="1" xfId="0" applyBorder="1" applyProtection="1">
      <protection locked="0"/>
    </xf>
    <xf numFmtId="0" fontId="10" fillId="0" borderId="1" xfId="0" applyFont="1" applyBorder="1"/>
    <xf numFmtId="0" fontId="13" fillId="0" borderId="1" xfId="2" applyFont="1" applyBorder="1"/>
    <xf numFmtId="0" fontId="14" fillId="0" borderId="0" xfId="0" applyFont="1"/>
    <xf numFmtId="42" fontId="5" fillId="0" borderId="2" xfId="1" applyNumberFormat="1" applyFont="1" applyBorder="1"/>
    <xf numFmtId="42" fontId="0" fillId="0" borderId="1" xfId="1" applyNumberFormat="1" applyFont="1" applyBorder="1"/>
    <xf numFmtId="0" fontId="15" fillId="0" borderId="0" xfId="0" applyFont="1"/>
    <xf numFmtId="0" fontId="0" fillId="0" borderId="0" xfId="0" applyAlignment="1">
      <alignment horizontal="center"/>
    </xf>
    <xf numFmtId="0" fontId="3" fillId="0" borderId="0" xfId="0" applyFont="1" applyAlignment="1">
      <alignment horizontal="center"/>
    </xf>
    <xf numFmtId="0" fontId="0" fillId="2" borderId="0" xfId="0" applyFill="1" applyAlignment="1" applyProtection="1">
      <alignment horizontal="center"/>
      <protection locked="0"/>
    </xf>
    <xf numFmtId="2" fontId="0" fillId="0" borderId="0" xfId="0" applyNumberFormat="1" applyAlignment="1">
      <alignment horizontal="center"/>
    </xf>
    <xf numFmtId="1" fontId="0" fillId="0" borderId="0" xfId="0" applyNumberFormat="1" applyAlignment="1">
      <alignment horizontal="center"/>
    </xf>
    <xf numFmtId="2" fontId="0" fillId="2" borderId="0" xfId="0" applyNumberFormat="1" applyFill="1" applyAlignment="1" applyProtection="1">
      <alignment horizontal="center"/>
      <protection locked="0"/>
    </xf>
    <xf numFmtId="1" fontId="5" fillId="0" borderId="0" xfId="0" applyNumberFormat="1" applyFont="1" applyAlignment="1">
      <alignment horizontal="center"/>
    </xf>
    <xf numFmtId="0" fontId="2" fillId="0" borderId="0" xfId="0" applyFont="1" applyAlignment="1">
      <alignment horizontal="center"/>
    </xf>
    <xf numFmtId="0" fontId="9" fillId="0" borderId="0" xfId="2" applyBorder="1" applyAlignment="1">
      <alignment horizontal="center"/>
    </xf>
    <xf numFmtId="0" fontId="0" fillId="0" borderId="0" xfId="0" applyAlignment="1">
      <alignment horizontal="center" wrapText="1"/>
    </xf>
    <xf numFmtId="0" fontId="0" fillId="0" borderId="0" xfId="0" applyAlignment="1" applyProtection="1">
      <alignment horizontal="center"/>
      <protection locked="0"/>
    </xf>
    <xf numFmtId="3" fontId="0" fillId="0" borderId="0" xfId="0" applyNumberFormat="1" applyAlignment="1">
      <alignment horizontal="center"/>
    </xf>
    <xf numFmtId="0" fontId="12" fillId="0" borderId="0" xfId="0" applyFont="1" applyAlignment="1">
      <alignment horizontal="center"/>
    </xf>
    <xf numFmtId="0" fontId="1" fillId="0" borderId="0" xfId="0" applyFont="1" applyAlignment="1">
      <alignment horizontal="center"/>
    </xf>
    <xf numFmtId="0" fontId="7" fillId="0" borderId="0" xfId="0" applyFont="1" applyAlignment="1">
      <alignment horizontal="center"/>
    </xf>
    <xf numFmtId="0" fontId="1" fillId="0" borderId="0" xfId="0" applyFont="1" applyAlignment="1" applyProtection="1">
      <alignment horizontal="center"/>
      <protection locked="0"/>
    </xf>
    <xf numFmtId="165" fontId="0" fillId="0" borderId="0" xfId="0" applyNumberFormat="1" applyAlignment="1">
      <alignment horizontal="center"/>
    </xf>
    <xf numFmtId="164" fontId="0" fillId="0" borderId="0" xfId="0" applyNumberFormat="1" applyAlignment="1">
      <alignment horizontal="center"/>
    </xf>
    <xf numFmtId="0" fontId="3" fillId="0" borderId="0" xfId="0" applyFont="1" applyAlignment="1" applyProtection="1">
      <alignment horizontal="center"/>
      <protection locked="0"/>
    </xf>
    <xf numFmtId="0" fontId="1" fillId="2" borderId="0" xfId="0" applyFont="1" applyFill="1" applyAlignment="1" applyProtection="1">
      <alignment horizontal="center"/>
      <protection locked="0"/>
    </xf>
    <xf numFmtId="1" fontId="1" fillId="0" borderId="0" xfId="0" applyNumberFormat="1" applyFont="1" applyAlignment="1">
      <alignment horizontal="center"/>
    </xf>
    <xf numFmtId="44" fontId="3" fillId="0" borderId="0" xfId="1" applyFont="1" applyBorder="1" applyAlignment="1">
      <alignment horizontal="center"/>
    </xf>
    <xf numFmtId="0" fontId="8" fillId="0" borderId="0" xfId="0" applyFont="1" applyAlignment="1">
      <alignment horizontal="center"/>
    </xf>
    <xf numFmtId="166" fontId="0" fillId="0" borderId="0" xfId="0" applyNumberFormat="1" applyAlignment="1">
      <alignment horizontal="center"/>
    </xf>
    <xf numFmtId="2" fontId="5" fillId="0" borderId="0" xfId="0" applyNumberFormat="1" applyFont="1" applyAlignment="1">
      <alignment horizontal="center"/>
    </xf>
    <xf numFmtId="0" fontId="0" fillId="3" borderId="0" xfId="0" applyFill="1" applyAlignment="1" applyProtection="1">
      <alignment horizontal="center"/>
      <protection locked="0"/>
    </xf>
    <xf numFmtId="0" fontId="2" fillId="0" borderId="0" xfId="0" applyFont="1" applyAlignment="1">
      <alignment horizontal="left"/>
    </xf>
    <xf numFmtId="0" fontId="0" fillId="0" borderId="0" xfId="0" applyAlignment="1" applyProtection="1">
      <alignment horizontal="left"/>
      <protection locked="0"/>
    </xf>
    <xf numFmtId="166" fontId="0" fillId="3" borderId="0" xfId="0" applyNumberFormat="1" applyFill="1" applyAlignment="1" applyProtection="1">
      <alignment horizontal="center"/>
      <protection locked="0"/>
    </xf>
    <xf numFmtId="166" fontId="0" fillId="0" borderId="0" xfId="0" applyNumberFormat="1" applyAlignment="1" applyProtection="1">
      <alignment horizontal="center"/>
      <protection locked="0"/>
    </xf>
    <xf numFmtId="167" fontId="0" fillId="3" borderId="0" xfId="0" applyNumberFormat="1" applyFill="1" applyAlignment="1" applyProtection="1">
      <alignment horizontal="center"/>
      <protection locked="0"/>
    </xf>
    <xf numFmtId="1" fontId="16" fillId="0" borderId="0" xfId="0" applyNumberFormat="1" applyFont="1" applyAlignment="1">
      <alignment horizontal="center"/>
    </xf>
    <xf numFmtId="0" fontId="17" fillId="0" borderId="0" xfId="0" applyFont="1" applyAlignment="1" applyProtection="1">
      <alignment horizontal="center"/>
      <protection locked="0"/>
    </xf>
    <xf numFmtId="0" fontId="0" fillId="3" borderId="0" xfId="0" applyFill="1" applyProtection="1">
      <protection locked="0"/>
    </xf>
    <xf numFmtId="0" fontId="0" fillId="3" borderId="0" xfId="0" quotePrefix="1" applyFill="1" applyProtection="1">
      <protection locked="0"/>
    </xf>
    <xf numFmtId="0" fontId="12" fillId="3" borderId="0" xfId="0" applyFont="1" applyFill="1" applyAlignment="1" applyProtection="1">
      <alignment horizontal="center"/>
      <protection locked="0"/>
    </xf>
    <xf numFmtId="164" fontId="0" fillId="0" borderId="0" xfId="0" applyNumberFormat="1"/>
    <xf numFmtId="2" fontId="1" fillId="0" borderId="1" xfId="0" applyNumberFormat="1" applyFont="1" applyBorder="1"/>
    <xf numFmtId="0" fontId="18" fillId="0" borderId="0" xfId="0" applyFont="1" applyAlignment="1">
      <alignment horizontal="left"/>
    </xf>
    <xf numFmtId="0" fontId="18" fillId="0" borderId="0" xfId="0" applyFont="1"/>
    <xf numFmtId="0" fontId="0" fillId="0" borderId="0" xfId="0" applyAlignment="1">
      <alignment horizontal="right"/>
    </xf>
    <xf numFmtId="0" fontId="0" fillId="0" borderId="0" xfId="0" quotePrefix="1" applyAlignment="1">
      <alignment horizontal="center"/>
    </xf>
    <xf numFmtId="1" fontId="14" fillId="0" borderId="0" xfId="0" applyNumberFormat="1" applyFont="1" applyAlignment="1">
      <alignment horizontal="center"/>
    </xf>
    <xf numFmtId="16" fontId="12" fillId="3" borderId="0" xfId="0" applyNumberFormat="1" applyFont="1" applyFill="1" applyAlignment="1" applyProtection="1">
      <alignment horizontal="center"/>
      <protection locked="0"/>
    </xf>
  </cellXfs>
  <cellStyles count="65">
    <cellStyle name="Currency" xfId="1" builtinId="4"/>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Hyperlink" xfId="2" builtinId="8"/>
    <cellStyle name="Normal" xfId="0" builtinId="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15</xdr:row>
      <xdr:rowOff>133351</xdr:rowOff>
    </xdr:from>
    <xdr:to>
      <xdr:col>12</xdr:col>
      <xdr:colOff>291804</xdr:colOff>
      <xdr:row>26</xdr:row>
      <xdr:rowOff>54505</xdr:rowOff>
    </xdr:to>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9525" y="3133726"/>
          <a:ext cx="8721429" cy="2121429"/>
        </a:xfrm>
        <a:prstGeom prst="rect">
          <a:avLst/>
        </a:prstGeom>
      </xdr:spPr>
    </xdr:pic>
    <xdr:clientData/>
  </xdr:twoCellAnchor>
  <xdr:twoCellAnchor editAs="oneCell">
    <xdr:from>
      <xdr:col>12</xdr:col>
      <xdr:colOff>304800</xdr:colOff>
      <xdr:row>15</xdr:row>
      <xdr:rowOff>114300</xdr:rowOff>
    </xdr:from>
    <xdr:to>
      <xdr:col>17</xdr:col>
      <xdr:colOff>435229</xdr:colOff>
      <xdr:row>29</xdr:row>
      <xdr:rowOff>13950</xdr:rowOff>
    </xdr:to>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743950" y="3114675"/>
          <a:ext cx="4321429" cy="270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142875</xdr:colOff>
      <xdr:row>18</xdr:row>
      <xdr:rowOff>161925</xdr:rowOff>
    </xdr:from>
    <xdr:to>
      <xdr:col>10</xdr:col>
      <xdr:colOff>95250</xdr:colOff>
      <xdr:row>27</xdr:row>
      <xdr:rowOff>152400</xdr:rowOff>
    </xdr:to>
    <xdr:pic>
      <xdr:nvPicPr>
        <xdr:cNvPr id="8193" name="Picture 1">
          <a:extLst>
            <a:ext uri="{FF2B5EF4-FFF2-40B4-BE49-F238E27FC236}">
              <a16:creationId xmlns:a16="http://schemas.microsoft.com/office/drawing/2014/main" id="{00000000-0008-0000-0C00-000001200000}"/>
            </a:ext>
          </a:extLst>
        </xdr:cNvPr>
        <xdr:cNvPicPr>
          <a:picLocks noChangeAspect="1"/>
        </xdr:cNvPicPr>
      </xdr:nvPicPr>
      <xdr:blipFill>
        <a:blip xmlns:r="http://schemas.openxmlformats.org/officeDocument/2006/relationships" r:embed="rId1"/>
        <a:srcRect/>
        <a:stretch>
          <a:fillRect/>
        </a:stretch>
      </xdr:blipFill>
      <xdr:spPr bwMode="auto">
        <a:xfrm>
          <a:off x="6534150" y="3762375"/>
          <a:ext cx="4762500" cy="1790700"/>
        </a:xfrm>
        <a:prstGeom prst="rect">
          <a:avLst/>
        </a:prstGeom>
        <a:noFill/>
        <a:ln w="9525">
          <a:noFill/>
          <a:miter lim="800000"/>
          <a:headEnd/>
          <a:tailEnd/>
        </a:ln>
      </xdr:spPr>
    </xdr:pic>
    <xdr:clientData/>
  </xdr:twoCellAnchor>
  <xdr:twoCellAnchor editAs="oneCell">
    <xdr:from>
      <xdr:col>17</xdr:col>
      <xdr:colOff>38100</xdr:colOff>
      <xdr:row>16</xdr:row>
      <xdr:rowOff>9525</xdr:rowOff>
    </xdr:from>
    <xdr:to>
      <xdr:col>23</xdr:col>
      <xdr:colOff>540008</xdr:colOff>
      <xdr:row>30</xdr:row>
      <xdr:rowOff>73461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a:stretch>
          <a:fillRect/>
        </a:stretch>
      </xdr:blipFill>
      <xdr:spPr>
        <a:xfrm>
          <a:off x="17573625" y="3209925"/>
          <a:ext cx="4292858" cy="286428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285751</xdr:colOff>
      <xdr:row>16</xdr:row>
      <xdr:rowOff>190500</xdr:rowOff>
    </xdr:from>
    <xdr:to>
      <xdr:col>15</xdr:col>
      <xdr:colOff>370941</xdr:colOff>
      <xdr:row>23</xdr:row>
      <xdr:rowOff>111754</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8201026" y="3390900"/>
          <a:ext cx="4285715" cy="132142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200025</xdr:colOff>
      <xdr:row>16</xdr:row>
      <xdr:rowOff>38100</xdr:rowOff>
    </xdr:from>
    <xdr:to>
      <xdr:col>12</xdr:col>
      <xdr:colOff>28575</xdr:colOff>
      <xdr:row>22</xdr:row>
      <xdr:rowOff>66675</xdr:rowOff>
    </xdr:to>
    <xdr:pic>
      <xdr:nvPicPr>
        <xdr:cNvPr id="1026" name="Picture 2">
          <a:extLst>
            <a:ext uri="{FF2B5EF4-FFF2-40B4-BE49-F238E27FC236}">
              <a16:creationId xmlns:a16="http://schemas.microsoft.com/office/drawing/2014/main" id="{00000000-0008-0000-0900-000002040000}"/>
            </a:ext>
          </a:extLst>
        </xdr:cNvPr>
        <xdr:cNvPicPr>
          <a:picLocks noChangeAspect="1"/>
        </xdr:cNvPicPr>
      </xdr:nvPicPr>
      <xdr:blipFill>
        <a:blip xmlns:r="http://schemas.openxmlformats.org/officeDocument/2006/relationships" r:embed="rId1"/>
        <a:srcRect/>
        <a:stretch>
          <a:fillRect/>
        </a:stretch>
      </xdr:blipFill>
      <xdr:spPr bwMode="auto">
        <a:xfrm>
          <a:off x="7658100" y="1638300"/>
          <a:ext cx="2343150" cy="1228725"/>
        </a:xfrm>
        <a:prstGeom prst="rect">
          <a:avLst/>
        </a:prstGeom>
        <a:noFill/>
        <a:ln w="9525">
          <a:noFill/>
          <a:miter lim="800000"/>
          <a:headEnd/>
          <a:tailEnd/>
        </a:ln>
      </xdr:spPr>
    </xdr:pic>
    <xdr:clientData/>
  </xdr:twoCellAnchor>
  <xdr:twoCellAnchor editAs="oneCell">
    <xdr:from>
      <xdr:col>2</xdr:col>
      <xdr:colOff>1</xdr:colOff>
      <xdr:row>15</xdr:row>
      <xdr:rowOff>9526</xdr:rowOff>
    </xdr:from>
    <xdr:to>
      <xdr:col>7</xdr:col>
      <xdr:colOff>32802</xdr:colOff>
      <xdr:row>30</xdr:row>
      <xdr:rowOff>109152</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2"/>
        <a:stretch>
          <a:fillRect/>
        </a:stretch>
      </xdr:blipFill>
      <xdr:spPr>
        <a:xfrm>
          <a:off x="2352676" y="3009901"/>
          <a:ext cx="4300001" cy="310000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K143"/>
  <sheetViews>
    <sheetView topLeftCell="A14" workbookViewId="0">
      <selection activeCell="A33" sqref="A33"/>
    </sheetView>
  </sheetViews>
  <sheetFormatPr defaultColWidth="11" defaultRowHeight="15.75" x14ac:dyDescent="0.25"/>
  <cols>
    <col min="1" max="1" width="26.875" customWidth="1"/>
    <col min="2" max="2" width="23.625" bestFit="1" customWidth="1"/>
    <col min="3" max="4" width="13.125" bestFit="1" customWidth="1"/>
    <col min="6" max="6" width="15.125" bestFit="1" customWidth="1"/>
    <col min="7" max="7" width="10.875" customWidth="1"/>
    <col min="8" max="8" width="27.125" bestFit="1" customWidth="1"/>
    <col min="9" max="9" width="22" bestFit="1" customWidth="1"/>
    <col min="10" max="10" width="17" bestFit="1" customWidth="1"/>
    <col min="11" max="11" width="0.125" customWidth="1"/>
  </cols>
  <sheetData>
    <row r="1" spans="1:3" ht="23.25" x14ac:dyDescent="0.35">
      <c r="A1" s="6" t="s">
        <v>47</v>
      </c>
    </row>
    <row r="3" spans="1:3" x14ac:dyDescent="0.25">
      <c r="A3" s="1" t="s">
        <v>48</v>
      </c>
    </row>
    <row r="4" spans="1:3" x14ac:dyDescent="0.25">
      <c r="A4" t="s">
        <v>248</v>
      </c>
    </row>
    <row r="5" spans="1:3" x14ac:dyDescent="0.25">
      <c r="A5" t="s">
        <v>132</v>
      </c>
    </row>
    <row r="6" spans="1:3" x14ac:dyDescent="0.25">
      <c r="A6" t="s">
        <v>133</v>
      </c>
    </row>
    <row r="7" spans="1:3" x14ac:dyDescent="0.25">
      <c r="B7" s="5" t="s">
        <v>49</v>
      </c>
    </row>
    <row r="8" spans="1:3" x14ac:dyDescent="0.25">
      <c r="A8" t="s">
        <v>134</v>
      </c>
    </row>
    <row r="9" spans="1:3" x14ac:dyDescent="0.25">
      <c r="B9" s="7" t="s">
        <v>50</v>
      </c>
    </row>
    <row r="10" spans="1:3" x14ac:dyDescent="0.25">
      <c r="A10" t="s">
        <v>249</v>
      </c>
      <c r="B10" s="7"/>
    </row>
    <row r="11" spans="1:3" x14ac:dyDescent="0.25">
      <c r="A11" t="s">
        <v>216</v>
      </c>
    </row>
    <row r="12" spans="1:3" x14ac:dyDescent="0.25">
      <c r="A12" s="10" t="s">
        <v>217</v>
      </c>
    </row>
    <row r="14" spans="1:3" x14ac:dyDescent="0.25">
      <c r="A14" s="25" t="s">
        <v>129</v>
      </c>
      <c r="B14" s="25"/>
      <c r="C14" s="25"/>
    </row>
    <row r="15" spans="1:3" x14ac:dyDescent="0.25">
      <c r="A15" s="25" t="s">
        <v>130</v>
      </c>
      <c r="B15" s="25"/>
      <c r="C15" s="25"/>
    </row>
    <row r="16" spans="1:3" x14ac:dyDescent="0.25">
      <c r="A16" s="25" t="s">
        <v>140</v>
      </c>
      <c r="B16" s="25" t="s">
        <v>141</v>
      </c>
      <c r="C16" s="25"/>
    </row>
    <row r="17" spans="1:11" x14ac:dyDescent="0.25">
      <c r="A17" s="25" t="s">
        <v>250</v>
      </c>
    </row>
    <row r="18" spans="1:11" x14ac:dyDescent="0.25">
      <c r="A18" s="25" t="s">
        <v>251</v>
      </c>
    </row>
    <row r="19" spans="1:11" x14ac:dyDescent="0.25">
      <c r="A19" t="s">
        <v>131</v>
      </c>
      <c r="B19" s="4">
        <v>800</v>
      </c>
    </row>
    <row r="20" spans="1:11" ht="16.5" thickBot="1" x14ac:dyDescent="0.3"/>
    <row r="21" spans="1:11" ht="16.5" thickBot="1" x14ac:dyDescent="0.3">
      <c r="A21" s="20" t="s">
        <v>95</v>
      </c>
      <c r="B21" s="20" t="s">
        <v>128</v>
      </c>
      <c r="D21" s="22" t="s">
        <v>103</v>
      </c>
      <c r="F21" s="23" t="e">
        <f ca="1">SUM(B22:B36)</f>
        <v>#REF!</v>
      </c>
      <c r="J21" t="s">
        <v>220</v>
      </c>
      <c r="K21" s="66" t="s">
        <v>219</v>
      </c>
    </row>
    <row r="22" spans="1:11" x14ac:dyDescent="0.25">
      <c r="A22" s="21" t="s">
        <v>15</v>
      </c>
      <c r="B22" s="24">
        <f ca="1">SUM(F41:F45)</f>
        <v>0</v>
      </c>
      <c r="C22" s="65" t="str">
        <f t="shared" ref="C22:C36" si="0">IF(K22&gt;0,"Warning - extrapolation in cost estimate, refer to textbook for valid range","")</f>
        <v/>
      </c>
      <c r="K22">
        <f>SUM('Electric Motors'!O7:O15)</f>
        <v>0</v>
      </c>
    </row>
    <row r="23" spans="1:11" x14ac:dyDescent="0.25">
      <c r="A23" s="21" t="s">
        <v>0</v>
      </c>
      <c r="B23" s="24">
        <f ca="1">SUM(F48:F52)</f>
        <v>0</v>
      </c>
      <c r="C23" s="65" t="str">
        <f t="shared" si="0"/>
        <v/>
      </c>
      <c r="K23">
        <f>SUM('Centrifugal Pumps'!L6:L14)</f>
        <v>0</v>
      </c>
    </row>
    <row r="24" spans="1:11" x14ac:dyDescent="0.25">
      <c r="A24" s="21" t="s">
        <v>27</v>
      </c>
      <c r="B24" s="24" t="e">
        <f>SUM(D55:D59)</f>
        <v>#REF!</v>
      </c>
      <c r="C24" s="65" t="e">
        <f t="shared" si="0"/>
        <v>#REF!</v>
      </c>
      <c r="K24" t="e">
        <f>SUM(#REF!)</f>
        <v>#REF!</v>
      </c>
    </row>
    <row r="25" spans="1:11" x14ac:dyDescent="0.25">
      <c r="A25" s="21" t="s">
        <v>26</v>
      </c>
      <c r="B25" s="24" t="e">
        <f>SUM(F62:F66)</f>
        <v>#REF!</v>
      </c>
      <c r="C25" s="65" t="e">
        <f t="shared" si="0"/>
        <v>#REF!</v>
      </c>
      <c r="K25" t="e">
        <f>SUM(#REF!)</f>
        <v>#REF!</v>
      </c>
    </row>
    <row r="26" spans="1:11" x14ac:dyDescent="0.25">
      <c r="A26" s="21" t="s">
        <v>66</v>
      </c>
      <c r="B26" s="24" t="e">
        <f>SUM(D69:D73)</f>
        <v>#REF!</v>
      </c>
      <c r="C26" s="65" t="e">
        <f t="shared" si="0"/>
        <v>#REF!</v>
      </c>
      <c r="K26" t="e">
        <f>SUM(#REF!)</f>
        <v>#REF!</v>
      </c>
    </row>
    <row r="27" spans="1:11" x14ac:dyDescent="0.25">
      <c r="A27" s="21" t="s">
        <v>96</v>
      </c>
      <c r="B27" s="24">
        <f ca="1">SUM(F76:F80)</f>
        <v>4448323.6555591347</v>
      </c>
      <c r="C27" s="65" t="str">
        <f t="shared" si="0"/>
        <v>Warning - extrapolation in cost estimate, refer to textbook for valid range</v>
      </c>
      <c r="K27">
        <f>SUM('Centrifugal (turbo) Blower'!P7:P15)</f>
        <v>1</v>
      </c>
    </row>
    <row r="28" spans="1:11" x14ac:dyDescent="0.25">
      <c r="A28" s="21" t="s">
        <v>97</v>
      </c>
      <c r="B28" s="24" t="e">
        <f>SUM(F83:F87)</f>
        <v>#REF!</v>
      </c>
      <c r="C28" s="65" t="e">
        <f t="shared" si="0"/>
        <v>#REF!</v>
      </c>
      <c r="K28" t="e">
        <f>SUM(#REF!)</f>
        <v>#REF!</v>
      </c>
    </row>
    <row r="29" spans="1:11" x14ac:dyDescent="0.25">
      <c r="A29" s="21" t="s">
        <v>63</v>
      </c>
      <c r="B29" s="24">
        <f ca="1">SUM(D90:D94)</f>
        <v>27808817.174417254</v>
      </c>
      <c r="C29" s="65" t="str">
        <f t="shared" si="0"/>
        <v>Warning - extrapolation in cost estimate, refer to textbook for valid range</v>
      </c>
      <c r="K29">
        <f>SUM(Compressors!K7:K15)</f>
        <v>1</v>
      </c>
    </row>
    <row r="30" spans="1:11" x14ac:dyDescent="0.25">
      <c r="A30" s="21" t="s">
        <v>98</v>
      </c>
      <c r="B30" s="24">
        <f ca="1">SUM(E97:E101)</f>
        <v>1736333.2124227516</v>
      </c>
      <c r="C30" s="65" t="str">
        <f t="shared" si="0"/>
        <v/>
      </c>
      <c r="K30">
        <f>SUM('Shell and Tube Heat Exchangers'!O6:O14)</f>
        <v>0</v>
      </c>
    </row>
    <row r="31" spans="1:11" x14ac:dyDescent="0.25">
      <c r="A31" s="21" t="s">
        <v>99</v>
      </c>
      <c r="B31" s="24" t="e">
        <f>SUM(D104:D108)</f>
        <v>#REF!</v>
      </c>
      <c r="C31" s="65" t="e">
        <f t="shared" si="0"/>
        <v>#REF!</v>
      </c>
      <c r="K31" t="e">
        <f>SUM(#REF!)</f>
        <v>#REF!</v>
      </c>
    </row>
    <row r="32" spans="1:11" x14ac:dyDescent="0.25">
      <c r="A32" s="21" t="s">
        <v>28</v>
      </c>
      <c r="B32" s="24" t="e">
        <f>SUM(E111:E115)</f>
        <v>#REF!</v>
      </c>
      <c r="C32" s="65" t="e">
        <f t="shared" si="0"/>
        <v>#REF!</v>
      </c>
      <c r="K32" t="e">
        <f>SUM(#REF!)</f>
        <v>#REF!</v>
      </c>
    </row>
    <row r="33" spans="1:11" x14ac:dyDescent="0.25">
      <c r="A33" s="21" t="s">
        <v>100</v>
      </c>
      <c r="B33" s="24">
        <f ca="1">SUM(G118:G122)</f>
        <v>5604229.2518655621</v>
      </c>
      <c r="C33" s="65" t="str">
        <f t="shared" si="0"/>
        <v/>
      </c>
      <c r="K33">
        <f>SUM('Pressure Vessels'!Z6:Z14)</f>
        <v>0</v>
      </c>
    </row>
    <row r="34" spans="1:11" x14ac:dyDescent="0.25">
      <c r="A34" s="21" t="s">
        <v>101</v>
      </c>
      <c r="B34" s="24" t="e">
        <f>SUM(F125:F129)</f>
        <v>#REF!</v>
      </c>
      <c r="C34" s="65" t="e">
        <f t="shared" si="0"/>
        <v>#REF!</v>
      </c>
      <c r="K34" t="e">
        <f>SUM(#REF!)</f>
        <v>#REF!</v>
      </c>
    </row>
    <row r="35" spans="1:11" x14ac:dyDescent="0.25">
      <c r="A35" s="21" t="s">
        <v>102</v>
      </c>
      <c r="B35" s="24" t="e">
        <f>SUM(G132:G136)</f>
        <v>#REF!</v>
      </c>
      <c r="C35" s="65" t="e">
        <f t="shared" si="0"/>
        <v>#REF!</v>
      </c>
      <c r="K35" t="e">
        <f>SUM(#REF!)</f>
        <v>#REF!</v>
      </c>
    </row>
    <row r="36" spans="1:11" x14ac:dyDescent="0.25">
      <c r="A36" s="21" t="s">
        <v>204</v>
      </c>
      <c r="B36" s="24">
        <f ca="1">SUM(C139:C143)</f>
        <v>0</v>
      </c>
      <c r="C36" s="65" t="str">
        <f t="shared" si="0"/>
        <v/>
      </c>
      <c r="K36">
        <f>SUM('Storage Tanks'!H6:H14)</f>
        <v>0</v>
      </c>
    </row>
    <row r="37" spans="1:11" x14ac:dyDescent="0.25">
      <c r="A37" s="9"/>
      <c r="B37" s="12"/>
    </row>
    <row r="38" spans="1:11" x14ac:dyDescent="0.25">
      <c r="A38" s="9"/>
      <c r="B38" s="12"/>
    </row>
    <row r="40" spans="1:11" x14ac:dyDescent="0.25">
      <c r="A40" s="20" t="s">
        <v>15</v>
      </c>
      <c r="B40" s="8" t="s">
        <v>104</v>
      </c>
      <c r="C40" s="8" t="s">
        <v>105</v>
      </c>
      <c r="D40" s="8" t="s">
        <v>9</v>
      </c>
      <c r="E40" s="8" t="s">
        <v>107</v>
      </c>
      <c r="F40" s="8" t="s">
        <v>92</v>
      </c>
    </row>
    <row r="41" spans="1:11" x14ac:dyDescent="0.25">
      <c r="A41" s="20" t="str">
        <f>IF('Electric Motors'!A7&lt;&gt;"",'Electric Motors'!A7,"")</f>
        <v/>
      </c>
      <c r="B41" s="8">
        <f>'Electric Motors'!B7</f>
        <v>0</v>
      </c>
      <c r="C41" s="8">
        <f>'Electric Motors'!C7</f>
        <v>0</v>
      </c>
      <c r="D41" s="13">
        <f>'Electric Motors'!J7</f>
        <v>0</v>
      </c>
      <c r="E41" s="13">
        <f>IF('Electric Motors'!B20=0,'Electric Motors'!F7,'Electric Motors'!B20)</f>
        <v>0</v>
      </c>
      <c r="F41" s="11">
        <f ca="1">'Electric Motors'!N7</f>
        <v>0</v>
      </c>
      <c r="G41" s="65" t="str">
        <f>'Electric Motors'!P7</f>
        <v/>
      </c>
    </row>
    <row r="42" spans="1:11" x14ac:dyDescent="0.25">
      <c r="A42" s="20" t="str">
        <f>IF('Electric Motors'!A9&lt;&gt;"",'Electric Motors'!A9,"")</f>
        <v/>
      </c>
      <c r="B42" s="8">
        <f>'Electric Motors'!B9</f>
        <v>0</v>
      </c>
      <c r="C42" s="8">
        <f>'Electric Motors'!C9</f>
        <v>0</v>
      </c>
      <c r="D42" s="13">
        <f>'Electric Motors'!J9</f>
        <v>0</v>
      </c>
      <c r="E42" s="13">
        <f>IF('Electric Motors'!B22=0,'Electric Motors'!F9,'Electric Motors'!B22)</f>
        <v>0</v>
      </c>
      <c r="F42" s="11">
        <f ca="1">'Electric Motors'!N9</f>
        <v>0</v>
      </c>
      <c r="G42" s="65" t="str">
        <f>'Electric Motors'!P9</f>
        <v/>
      </c>
    </row>
    <row r="43" spans="1:11" x14ac:dyDescent="0.25">
      <c r="A43" s="20" t="str">
        <f>IF('Electric Motors'!A11&lt;&gt;"",'Electric Motors'!A11,"")</f>
        <v/>
      </c>
      <c r="B43" s="8">
        <f>'Electric Motors'!B11</f>
        <v>0</v>
      </c>
      <c r="C43" s="8">
        <f>'Electric Motors'!C11</f>
        <v>0</v>
      </c>
      <c r="D43" s="13">
        <f>'Electric Motors'!J11</f>
        <v>0</v>
      </c>
      <c r="E43" s="13">
        <f>IF('Electric Motors'!B24=0,'Electric Motors'!F11,'Electric Motors'!B24)</f>
        <v>0</v>
      </c>
      <c r="F43" s="11">
        <f ca="1">'Electric Motors'!N11</f>
        <v>0</v>
      </c>
      <c r="G43" s="65" t="str">
        <f>'Electric Motors'!P11</f>
        <v/>
      </c>
    </row>
    <row r="44" spans="1:11" x14ac:dyDescent="0.25">
      <c r="A44" s="20" t="str">
        <f>IF('Electric Motors'!A13&lt;&gt;"",'Electric Motors'!A13,"")</f>
        <v/>
      </c>
      <c r="B44" s="8">
        <f>'Electric Motors'!B13</f>
        <v>0</v>
      </c>
      <c r="C44" s="8">
        <f>'Electric Motors'!C13</f>
        <v>0</v>
      </c>
      <c r="D44" s="13">
        <f>'Electric Motors'!J13</f>
        <v>0</v>
      </c>
      <c r="E44" s="13">
        <f>IF('Electric Motors'!B26=0,'Electric Motors'!F13,'Electric Motors'!B26)</f>
        <v>0</v>
      </c>
      <c r="F44" s="11">
        <f ca="1">'Electric Motors'!N13</f>
        <v>0</v>
      </c>
      <c r="G44" s="65" t="str">
        <f>'Electric Motors'!P13</f>
        <v/>
      </c>
    </row>
    <row r="45" spans="1:11" x14ac:dyDescent="0.25">
      <c r="A45" s="20" t="str">
        <f>IF('Electric Motors'!A15&lt;&gt;"",'Electric Motors'!A15,"")</f>
        <v/>
      </c>
      <c r="B45" s="8">
        <f>'Electric Motors'!B15</f>
        <v>0</v>
      </c>
      <c r="C45" s="8">
        <f>'Electric Motors'!C15</f>
        <v>0</v>
      </c>
      <c r="D45" s="13">
        <f>'Electric Motors'!J15</f>
        <v>0</v>
      </c>
      <c r="E45" s="13">
        <f>IF('Electric Motors'!B28=0,'Electric Motors'!F15,'Electric Motors'!B28)</f>
        <v>0</v>
      </c>
      <c r="F45" s="11">
        <f ca="1">'Electric Motors'!N15</f>
        <v>0</v>
      </c>
      <c r="G45" s="65" t="str">
        <f>'Electric Motors'!P15</f>
        <v/>
      </c>
    </row>
    <row r="46" spans="1:11" x14ac:dyDescent="0.25">
      <c r="A46" s="14"/>
    </row>
    <row r="47" spans="1:11" x14ac:dyDescent="0.25">
      <c r="A47" s="20" t="s">
        <v>0</v>
      </c>
      <c r="B47" s="8" t="s">
        <v>104</v>
      </c>
      <c r="C47" s="8" t="s">
        <v>105</v>
      </c>
      <c r="D47" s="8" t="s">
        <v>106</v>
      </c>
      <c r="E47" s="8" t="s">
        <v>64</v>
      </c>
      <c r="F47" s="8" t="s">
        <v>92</v>
      </c>
    </row>
    <row r="48" spans="1:11" x14ac:dyDescent="0.25">
      <c r="A48" s="20" t="str">
        <f>IF('Centrifugal Pumps'!A6&lt;&gt;"",'Centrifugal Pumps'!A6,"")</f>
        <v/>
      </c>
      <c r="B48" s="8">
        <f>'Centrifugal Pumps'!B6</f>
        <v>0</v>
      </c>
      <c r="C48" s="8">
        <f>'Centrifugal Pumps'!C6</f>
        <v>0</v>
      </c>
      <c r="D48" s="8">
        <f>'Centrifugal Pumps'!F6</f>
        <v>0</v>
      </c>
      <c r="E48" s="8">
        <f>'Centrifugal Pumps'!G6</f>
        <v>0</v>
      </c>
      <c r="F48" s="11">
        <f ca="1">'Centrifugal Pumps'!K6</f>
        <v>0</v>
      </c>
      <c r="G48" s="65" t="str">
        <f>'Centrifugal Pumps'!M6</f>
        <v/>
      </c>
    </row>
    <row r="49" spans="1:7" x14ac:dyDescent="0.25">
      <c r="A49" s="20" t="str">
        <f>IF('Centrifugal Pumps'!A8&lt;&gt;"",'Centrifugal Pumps'!A8,"")</f>
        <v/>
      </c>
      <c r="B49" s="8">
        <f>'Centrifugal Pumps'!B8</f>
        <v>0</v>
      </c>
      <c r="C49" s="8">
        <f>'Centrifugal Pumps'!C8</f>
        <v>0</v>
      </c>
      <c r="D49" s="8">
        <f>'Centrifugal Pumps'!F8</f>
        <v>0</v>
      </c>
      <c r="E49" s="8">
        <f>'Centrifugal Pumps'!G8</f>
        <v>0</v>
      </c>
      <c r="F49" s="11">
        <f ca="1">'Centrifugal Pumps'!K8</f>
        <v>0</v>
      </c>
      <c r="G49" s="65" t="str">
        <f>'Centrifugal Pumps'!M8</f>
        <v/>
      </c>
    </row>
    <row r="50" spans="1:7" x14ac:dyDescent="0.25">
      <c r="A50" s="20" t="str">
        <f>IF('Centrifugal Pumps'!A10&lt;&gt;"",'Centrifugal Pumps'!A10,"")</f>
        <v/>
      </c>
      <c r="B50" s="8">
        <f>'Centrifugal Pumps'!B10</f>
        <v>0</v>
      </c>
      <c r="C50" s="8">
        <f>'Centrifugal Pumps'!C10</f>
        <v>0</v>
      </c>
      <c r="D50" s="8">
        <f>'Centrifugal Pumps'!F10</f>
        <v>0</v>
      </c>
      <c r="E50" s="8">
        <f>'Centrifugal Pumps'!G10</f>
        <v>0</v>
      </c>
      <c r="F50" s="11">
        <f ca="1">'Centrifugal Pumps'!K10</f>
        <v>0</v>
      </c>
      <c r="G50" s="65" t="str">
        <f>'Centrifugal Pumps'!M10</f>
        <v/>
      </c>
    </row>
    <row r="51" spans="1:7" x14ac:dyDescent="0.25">
      <c r="A51" s="20" t="str">
        <f>IF('Centrifugal Pumps'!A12&lt;&gt;"",'Centrifugal Pumps'!A12,"")</f>
        <v/>
      </c>
      <c r="B51" s="8">
        <f>'Centrifugal Pumps'!B12</f>
        <v>0</v>
      </c>
      <c r="C51" s="8">
        <f>'Centrifugal Pumps'!C12</f>
        <v>0</v>
      </c>
      <c r="D51" s="8">
        <f>'Centrifugal Pumps'!F12</f>
        <v>0</v>
      </c>
      <c r="E51" s="8">
        <f>'Centrifugal Pumps'!G12</f>
        <v>0</v>
      </c>
      <c r="F51" s="11">
        <f ca="1">'Centrifugal Pumps'!K12</f>
        <v>0</v>
      </c>
      <c r="G51" s="65" t="str">
        <f>'Centrifugal Pumps'!M12</f>
        <v/>
      </c>
    </row>
    <row r="52" spans="1:7" x14ac:dyDescent="0.25">
      <c r="A52" s="20" t="str">
        <f>IF('Centrifugal Pumps'!A14&lt;&gt;"",'Centrifugal Pumps'!A14,"")</f>
        <v/>
      </c>
      <c r="B52" s="8">
        <f>'Centrifugal Pumps'!B14</f>
        <v>0</v>
      </c>
      <c r="C52" s="8">
        <f>'Centrifugal Pumps'!C14</f>
        <v>0</v>
      </c>
      <c r="D52" s="8">
        <f>'Centrifugal Pumps'!F14</f>
        <v>0</v>
      </c>
      <c r="E52" s="8">
        <f>'Centrifugal Pumps'!G14</f>
        <v>0</v>
      </c>
      <c r="F52" s="11">
        <f ca="1">'Centrifugal Pumps'!K14</f>
        <v>0</v>
      </c>
      <c r="G52" s="65" t="str">
        <f>'Centrifugal Pumps'!M14</f>
        <v/>
      </c>
    </row>
    <row r="53" spans="1:7" x14ac:dyDescent="0.25">
      <c r="A53" s="14"/>
    </row>
    <row r="54" spans="1:7" x14ac:dyDescent="0.25">
      <c r="A54" s="20" t="s">
        <v>27</v>
      </c>
      <c r="B54" s="8" t="s">
        <v>104</v>
      </c>
      <c r="C54" s="8" t="s">
        <v>64</v>
      </c>
      <c r="D54" s="8" t="s">
        <v>92</v>
      </c>
    </row>
    <row r="55" spans="1:7" x14ac:dyDescent="0.25">
      <c r="A55" s="20" t="e">
        <f>IF(#REF!&lt;&gt;"",#REF!,"")</f>
        <v>#REF!</v>
      </c>
      <c r="B55" s="8" t="e">
        <f>#REF!</f>
        <v>#REF!</v>
      </c>
      <c r="C55" s="8" t="e">
        <f>#REF!</f>
        <v>#REF!</v>
      </c>
      <c r="D55" s="11" t="e">
        <f>#REF!</f>
        <v>#REF!</v>
      </c>
      <c r="E55" s="65" t="e">
        <f>#REF!</f>
        <v>#REF!</v>
      </c>
    </row>
    <row r="56" spans="1:7" x14ac:dyDescent="0.25">
      <c r="A56" s="20" t="e">
        <f>IF(#REF!&lt;&gt;"",#REF!,"")</f>
        <v>#REF!</v>
      </c>
      <c r="B56" s="8" t="e">
        <f>#REF!</f>
        <v>#REF!</v>
      </c>
      <c r="C56" s="8" t="e">
        <f>#REF!</f>
        <v>#REF!</v>
      </c>
      <c r="D56" s="11" t="e">
        <f>#REF!</f>
        <v>#REF!</v>
      </c>
      <c r="E56" s="65" t="e">
        <f>#REF!</f>
        <v>#REF!</v>
      </c>
    </row>
    <row r="57" spans="1:7" x14ac:dyDescent="0.25">
      <c r="A57" s="20" t="e">
        <f>IF(#REF!&lt;&gt;"",#REF!,"")</f>
        <v>#REF!</v>
      </c>
      <c r="B57" s="8" t="e">
        <f>#REF!</f>
        <v>#REF!</v>
      </c>
      <c r="C57" s="8" t="e">
        <f>#REF!</f>
        <v>#REF!</v>
      </c>
      <c r="D57" s="11" t="e">
        <f>#REF!</f>
        <v>#REF!</v>
      </c>
      <c r="E57" s="65" t="e">
        <f>#REF!</f>
        <v>#REF!</v>
      </c>
    </row>
    <row r="58" spans="1:7" x14ac:dyDescent="0.25">
      <c r="A58" s="20" t="e">
        <f>IF(#REF!&lt;&gt;"",#REF!,"")</f>
        <v>#REF!</v>
      </c>
      <c r="B58" s="8" t="e">
        <f>#REF!</f>
        <v>#REF!</v>
      </c>
      <c r="C58" s="8" t="e">
        <f>#REF!</f>
        <v>#REF!</v>
      </c>
      <c r="D58" s="11" t="e">
        <f>#REF!</f>
        <v>#REF!</v>
      </c>
      <c r="E58" s="65" t="e">
        <f>#REF!</f>
        <v>#REF!</v>
      </c>
    </row>
    <row r="59" spans="1:7" x14ac:dyDescent="0.25">
      <c r="A59" s="20" t="e">
        <f>IF(#REF!&lt;&gt;"",#REF!,"")</f>
        <v>#REF!</v>
      </c>
      <c r="B59" s="8" t="e">
        <f>#REF!</f>
        <v>#REF!</v>
      </c>
      <c r="C59" s="8" t="e">
        <f>#REF!</f>
        <v>#REF!</v>
      </c>
      <c r="D59" s="11" t="e">
        <f>#REF!</f>
        <v>#REF!</v>
      </c>
      <c r="E59" s="65" t="e">
        <f>#REF!</f>
        <v>#REF!</v>
      </c>
    </row>
    <row r="60" spans="1:7" x14ac:dyDescent="0.25">
      <c r="A60" s="14"/>
    </row>
    <row r="61" spans="1:7" x14ac:dyDescent="0.25">
      <c r="A61" s="20" t="s">
        <v>26</v>
      </c>
      <c r="B61" s="8" t="s">
        <v>104</v>
      </c>
      <c r="C61" s="8" t="s">
        <v>105</v>
      </c>
      <c r="D61" s="8" t="s">
        <v>64</v>
      </c>
      <c r="E61" s="8" t="s">
        <v>107</v>
      </c>
      <c r="F61" s="8" t="s">
        <v>92</v>
      </c>
    </row>
    <row r="62" spans="1:7" x14ac:dyDescent="0.25">
      <c r="A62" s="20" t="e">
        <f>IF(#REF!&lt;&gt;"",#REF!,"")</f>
        <v>#REF!</v>
      </c>
      <c r="B62" s="8" t="e">
        <f>#REF!</f>
        <v>#REF!</v>
      </c>
      <c r="C62" s="8" t="e">
        <f>#REF!</f>
        <v>#REF!</v>
      </c>
      <c r="D62" s="13" t="e">
        <f>#REF!</f>
        <v>#REF!</v>
      </c>
      <c r="E62" s="13" t="e">
        <f>IF(#REF!=0,#REF!,#REF!)</f>
        <v>#REF!</v>
      </c>
      <c r="F62" s="11" t="e">
        <f>#REF!</f>
        <v>#REF!</v>
      </c>
      <c r="G62" s="65" t="e">
        <f>#REF!</f>
        <v>#REF!</v>
      </c>
    </row>
    <row r="63" spans="1:7" x14ac:dyDescent="0.25">
      <c r="A63" s="20" t="e">
        <f>IF(#REF!&lt;&gt;"",#REF!,"")</f>
        <v>#REF!</v>
      </c>
      <c r="B63" s="8" t="e">
        <f>#REF!</f>
        <v>#REF!</v>
      </c>
      <c r="C63" s="8" t="e">
        <f>#REF!</f>
        <v>#REF!</v>
      </c>
      <c r="D63" s="13" t="e">
        <f>#REF!</f>
        <v>#REF!</v>
      </c>
      <c r="E63" s="13" t="e">
        <f>IF(#REF!=0,#REF!,#REF!)</f>
        <v>#REF!</v>
      </c>
      <c r="F63" s="11" t="e">
        <f>#REF!</f>
        <v>#REF!</v>
      </c>
      <c r="G63" s="65" t="e">
        <f>#REF!</f>
        <v>#REF!</v>
      </c>
    </row>
    <row r="64" spans="1:7" x14ac:dyDescent="0.25">
      <c r="A64" s="20" t="e">
        <f>IF(#REF!&lt;&gt;"",#REF!,"")</f>
        <v>#REF!</v>
      </c>
      <c r="B64" s="8" t="e">
        <f>#REF!</f>
        <v>#REF!</v>
      </c>
      <c r="C64" s="8" t="e">
        <f>#REF!</f>
        <v>#REF!</v>
      </c>
      <c r="D64" s="13" t="e">
        <f>#REF!</f>
        <v>#REF!</v>
      </c>
      <c r="E64" s="13" t="e">
        <f>IF(#REF!=0,#REF!,#REF!)</f>
        <v>#REF!</v>
      </c>
      <c r="F64" s="11" t="e">
        <f>#REF!</f>
        <v>#REF!</v>
      </c>
      <c r="G64" s="65" t="e">
        <f>#REF!</f>
        <v>#REF!</v>
      </c>
    </row>
    <row r="65" spans="1:7" x14ac:dyDescent="0.25">
      <c r="A65" s="20" t="e">
        <f>IF(#REF!&lt;&gt;"",#REF!,"")</f>
        <v>#REF!</v>
      </c>
      <c r="B65" s="8" t="e">
        <f>#REF!</f>
        <v>#REF!</v>
      </c>
      <c r="C65" s="8" t="e">
        <f>#REF!</f>
        <v>#REF!</v>
      </c>
      <c r="D65" s="13" t="e">
        <f>#REF!</f>
        <v>#REF!</v>
      </c>
      <c r="E65" s="13" t="e">
        <f>IF(#REF!=0,#REF!,#REF!)</f>
        <v>#REF!</v>
      </c>
      <c r="F65" s="11" t="e">
        <f>#REF!</f>
        <v>#REF!</v>
      </c>
      <c r="G65" s="65" t="e">
        <f>#REF!</f>
        <v>#REF!</v>
      </c>
    </row>
    <row r="66" spans="1:7" x14ac:dyDescent="0.25">
      <c r="A66" s="20" t="e">
        <f>IF(#REF!&lt;&gt;"",#REF!,"")</f>
        <v>#REF!</v>
      </c>
      <c r="B66" s="8" t="e">
        <f>#REF!</f>
        <v>#REF!</v>
      </c>
      <c r="C66" s="8" t="e">
        <f>#REF!</f>
        <v>#REF!</v>
      </c>
      <c r="D66" s="13" t="e">
        <f>#REF!</f>
        <v>#REF!</v>
      </c>
      <c r="E66" s="13" t="e">
        <f>IF(#REF!=0,#REF!,#REF!)</f>
        <v>#REF!</v>
      </c>
      <c r="F66" s="11" t="e">
        <f>#REF!</f>
        <v>#REF!</v>
      </c>
      <c r="G66" s="65" t="e">
        <f>#REF!</f>
        <v>#REF!</v>
      </c>
    </row>
    <row r="67" spans="1:7" x14ac:dyDescent="0.25">
      <c r="A67" s="14"/>
      <c r="E67" s="62"/>
    </row>
    <row r="68" spans="1:7" x14ac:dyDescent="0.25">
      <c r="A68" s="20" t="s">
        <v>66</v>
      </c>
      <c r="B68" s="19" t="s">
        <v>65</v>
      </c>
      <c r="C68" s="19" t="s">
        <v>120</v>
      </c>
      <c r="D68" s="19" t="s">
        <v>14</v>
      </c>
    </row>
    <row r="69" spans="1:7" x14ac:dyDescent="0.25">
      <c r="A69" s="20" t="e">
        <f>IF(#REF!&lt;&gt;"",#REF!,"")</f>
        <v>#REF!</v>
      </c>
      <c r="B69" s="8" t="e">
        <f>#REF!</f>
        <v>#REF!</v>
      </c>
      <c r="C69" s="8" t="e">
        <f>#REF!</f>
        <v>#REF!</v>
      </c>
      <c r="D69" s="11" t="e">
        <f>#REF!</f>
        <v>#REF!</v>
      </c>
      <c r="E69" s="65" t="e">
        <f>#REF!</f>
        <v>#REF!</v>
      </c>
    </row>
    <row r="70" spans="1:7" x14ac:dyDescent="0.25">
      <c r="A70" s="20" t="e">
        <f>IF(#REF!&lt;&gt;"",#REF!,"")</f>
        <v>#REF!</v>
      </c>
      <c r="B70" s="8" t="e">
        <f>#REF!</f>
        <v>#REF!</v>
      </c>
      <c r="C70" s="8" t="e">
        <f>#REF!</f>
        <v>#REF!</v>
      </c>
      <c r="D70" s="11" t="e">
        <f>#REF!</f>
        <v>#REF!</v>
      </c>
      <c r="E70" s="65" t="e">
        <f>#REF!</f>
        <v>#REF!</v>
      </c>
    </row>
    <row r="71" spans="1:7" x14ac:dyDescent="0.25">
      <c r="A71" s="20" t="e">
        <f>IF(#REF!&lt;&gt;"",#REF!,"")</f>
        <v>#REF!</v>
      </c>
      <c r="B71" s="8" t="e">
        <f>#REF!</f>
        <v>#REF!</v>
      </c>
      <c r="C71" s="8" t="e">
        <f>#REF!</f>
        <v>#REF!</v>
      </c>
      <c r="D71" s="11" t="e">
        <f>#REF!</f>
        <v>#REF!</v>
      </c>
      <c r="E71" s="65" t="e">
        <f>#REF!</f>
        <v>#REF!</v>
      </c>
    </row>
    <row r="72" spans="1:7" x14ac:dyDescent="0.25">
      <c r="A72" s="20" t="e">
        <f>IF(#REF!&lt;&gt;"",#REF!,"")</f>
        <v>#REF!</v>
      </c>
      <c r="B72" s="8" t="e">
        <f>#REF!</f>
        <v>#REF!</v>
      </c>
      <c r="C72" s="8" t="e">
        <f>#REF!</f>
        <v>#REF!</v>
      </c>
      <c r="D72" s="11" t="e">
        <f>#REF!</f>
        <v>#REF!</v>
      </c>
      <c r="E72" s="65" t="e">
        <f>#REF!</f>
        <v>#REF!</v>
      </c>
    </row>
    <row r="73" spans="1:7" x14ac:dyDescent="0.25">
      <c r="A73" s="20" t="e">
        <f>IF(#REF!&lt;&gt;"",#REF!,"")</f>
        <v>#REF!</v>
      </c>
      <c r="B73" s="8" t="e">
        <f>#REF!</f>
        <v>#REF!</v>
      </c>
      <c r="C73" s="8" t="e">
        <f>#REF!</f>
        <v>#REF!</v>
      </c>
      <c r="D73" s="11" t="e">
        <f>#REF!</f>
        <v>#REF!</v>
      </c>
      <c r="E73" s="65" t="e">
        <f>#REF!</f>
        <v>#REF!</v>
      </c>
    </row>
    <row r="74" spans="1:7" x14ac:dyDescent="0.25">
      <c r="A74" s="14"/>
    </row>
    <row r="75" spans="1:7" x14ac:dyDescent="0.25">
      <c r="A75" s="20" t="s">
        <v>110</v>
      </c>
      <c r="B75" s="8" t="s">
        <v>111</v>
      </c>
      <c r="C75" s="8" t="s">
        <v>112</v>
      </c>
      <c r="D75" s="8" t="s">
        <v>113</v>
      </c>
      <c r="E75" s="8" t="s">
        <v>46</v>
      </c>
      <c r="F75" s="8" t="s">
        <v>92</v>
      </c>
    </row>
    <row r="76" spans="1:7" x14ac:dyDescent="0.25">
      <c r="A76" s="20" t="str">
        <f>IF('Centrifugal (turbo) Blower'!A7&lt;&gt;"",'Centrifugal (turbo) Blower'!A7,"")</f>
        <v>Exp Turbine</v>
      </c>
      <c r="B76" s="16">
        <f>'Centrifugal (turbo) Blower'!B7</f>
        <v>878.20513000000005</v>
      </c>
      <c r="C76" s="16">
        <f>'Centrifugal (turbo) Blower'!C7</f>
        <v>217.55699999999999</v>
      </c>
      <c r="D76" s="16">
        <f>'Centrifugal (turbo) Blower'!D7</f>
        <v>983.22799999999995</v>
      </c>
      <c r="E76" s="63">
        <f>IF('Centrifugal (turbo) Blower'!B20=0,'Centrifugal (turbo) Blower'!I7,'Centrifugal (turbo) Blower'!B20)</f>
        <v>2774.6</v>
      </c>
      <c r="F76" s="11">
        <f ca="1">'Centrifugal (turbo) Blower'!O7</f>
        <v>4448323.6555591347</v>
      </c>
      <c r="G76" s="65" t="str">
        <f>'Centrifugal (turbo) Blower'!Q7</f>
        <v>Warning - extrapolation in cost estimate, Pc must be between 5 and 1000</v>
      </c>
    </row>
    <row r="77" spans="1:7" x14ac:dyDescent="0.25">
      <c r="A77" s="20" t="str">
        <f>IF('Centrifugal (turbo) Blower'!A9&lt;&gt;"",'Centrifugal (turbo) Blower'!A9,"")</f>
        <v/>
      </c>
      <c r="B77" s="16">
        <f>'Centrifugal (turbo) Blower'!B9</f>
        <v>0</v>
      </c>
      <c r="C77" s="16">
        <f>'Centrifugal (turbo) Blower'!C9</f>
        <v>0</v>
      </c>
      <c r="D77" s="16">
        <f>'Centrifugal (turbo) Blower'!D9</f>
        <v>0</v>
      </c>
      <c r="E77" s="63">
        <f>IF('Centrifugal (turbo) Blower'!B22=0,'Centrifugal (turbo) Blower'!I9,'Centrifugal (turbo) Blower'!B22)</f>
        <v>0</v>
      </c>
      <c r="F77" s="11">
        <f ca="1">'Centrifugal (turbo) Blower'!O9</f>
        <v>0</v>
      </c>
      <c r="G77" s="65" t="str">
        <f>'Centrifugal (turbo) Blower'!Q9</f>
        <v/>
      </c>
    </row>
    <row r="78" spans="1:7" x14ac:dyDescent="0.25">
      <c r="A78" s="20" t="str">
        <f>IF('Centrifugal (turbo) Blower'!A11&lt;&gt;"",'Centrifugal (turbo) Blower'!A11,"")</f>
        <v/>
      </c>
      <c r="B78" s="16">
        <f>'Centrifugal (turbo) Blower'!B11</f>
        <v>0</v>
      </c>
      <c r="C78" s="16">
        <f>'Centrifugal (turbo) Blower'!C11</f>
        <v>0</v>
      </c>
      <c r="D78" s="16">
        <f>'Centrifugal (turbo) Blower'!D11</f>
        <v>0</v>
      </c>
      <c r="E78" s="63">
        <f>IF('Centrifugal (turbo) Blower'!B24=0,'Centrifugal (turbo) Blower'!I11,'Centrifugal (turbo) Blower'!B24)</f>
        <v>0</v>
      </c>
      <c r="F78" s="11">
        <f ca="1">'Centrifugal (turbo) Blower'!O11</f>
        <v>0</v>
      </c>
      <c r="G78" s="65" t="str">
        <f>'Centrifugal (turbo) Blower'!Q11</f>
        <v/>
      </c>
    </row>
    <row r="79" spans="1:7" x14ac:dyDescent="0.25">
      <c r="A79" s="20" t="str">
        <f>IF('Centrifugal (turbo) Blower'!A13&lt;&gt;"",'Centrifugal (turbo) Blower'!A13,"")</f>
        <v/>
      </c>
      <c r="B79" s="16">
        <f>'Centrifugal (turbo) Blower'!B13</f>
        <v>0</v>
      </c>
      <c r="C79" s="16">
        <f>'Centrifugal (turbo) Blower'!C13</f>
        <v>0</v>
      </c>
      <c r="D79" s="16">
        <f>'Centrifugal (turbo) Blower'!D13</f>
        <v>0</v>
      </c>
      <c r="E79" s="63">
        <f>IF('Centrifugal (turbo) Blower'!B26=0,'Centrifugal (turbo) Blower'!I13,'Centrifugal (turbo) Blower'!B26)</f>
        <v>0</v>
      </c>
      <c r="F79" s="11">
        <f ca="1">'Centrifugal (turbo) Blower'!O13</f>
        <v>0</v>
      </c>
      <c r="G79" s="65" t="str">
        <f>'Centrifugal (turbo) Blower'!Q13</f>
        <v/>
      </c>
    </row>
    <row r="80" spans="1:7" x14ac:dyDescent="0.25">
      <c r="A80" s="20" t="str">
        <f>IF('Centrifugal (turbo) Blower'!A15&lt;&gt;"",'Centrifugal (turbo) Blower'!A15,"")</f>
        <v/>
      </c>
      <c r="B80" s="16">
        <f>'Centrifugal (turbo) Blower'!B15</f>
        <v>0</v>
      </c>
      <c r="C80" s="16">
        <f>'Centrifugal (turbo) Blower'!C15</f>
        <v>0</v>
      </c>
      <c r="D80" s="16">
        <f>'Centrifugal (turbo) Blower'!D15</f>
        <v>0</v>
      </c>
      <c r="E80" s="63">
        <f>IF('Centrifugal (turbo) Blower'!B28=0,'Centrifugal (turbo) Blower'!I15,'Centrifugal (turbo) Blower'!B28)</f>
        <v>0</v>
      </c>
      <c r="F80" s="11">
        <f ca="1">'Centrifugal (turbo) Blower'!O15</f>
        <v>0</v>
      </c>
      <c r="G80" s="65" t="str">
        <f>'Centrifugal (turbo) Blower'!Q15</f>
        <v/>
      </c>
    </row>
    <row r="81" spans="1:7" x14ac:dyDescent="0.25">
      <c r="A81" s="14"/>
    </row>
    <row r="82" spans="1:7" x14ac:dyDescent="0.25">
      <c r="A82" s="20" t="s">
        <v>114</v>
      </c>
      <c r="B82" s="8" t="s">
        <v>115</v>
      </c>
      <c r="C82" s="8" t="s">
        <v>116</v>
      </c>
      <c r="D82" s="8" t="s">
        <v>117</v>
      </c>
      <c r="E82" s="8" t="s">
        <v>118</v>
      </c>
      <c r="F82" s="8" t="s">
        <v>92</v>
      </c>
    </row>
    <row r="83" spans="1:7" x14ac:dyDescent="0.25">
      <c r="A83" s="20" t="e">
        <f>IF(#REF!&lt;&gt;"",#REF!,"")</f>
        <v>#REF!</v>
      </c>
      <c r="B83" s="17" t="e">
        <f>#REF!</f>
        <v>#REF!</v>
      </c>
      <c r="C83" s="17" t="e">
        <f>#REF!</f>
        <v>#REF!</v>
      </c>
      <c r="D83" s="17" t="e">
        <f>#REF!</f>
        <v>#REF!</v>
      </c>
      <c r="E83" s="13" t="e">
        <f>IF(#REF!=0,#REF!,#REF!)</f>
        <v>#REF!</v>
      </c>
      <c r="F83" s="11" t="e">
        <f>#REF!</f>
        <v>#REF!</v>
      </c>
      <c r="G83" s="65" t="e">
        <f>#REF!</f>
        <v>#REF!</v>
      </c>
    </row>
    <row r="84" spans="1:7" x14ac:dyDescent="0.25">
      <c r="A84" s="20" t="e">
        <f>IF(#REF!&lt;&gt;"",#REF!,"")</f>
        <v>#REF!</v>
      </c>
      <c r="B84" s="8" t="e">
        <f>#REF!</f>
        <v>#REF!</v>
      </c>
      <c r="C84" s="8" t="e">
        <f>#REF!</f>
        <v>#REF!</v>
      </c>
      <c r="D84" s="8" t="e">
        <f>#REF!</f>
        <v>#REF!</v>
      </c>
      <c r="E84" s="13" t="e">
        <f>IF(#REF!=0,#REF!,#REF!)</f>
        <v>#REF!</v>
      </c>
      <c r="F84" s="11" t="e">
        <f>#REF!</f>
        <v>#REF!</v>
      </c>
      <c r="G84" s="65" t="e">
        <f>#REF!</f>
        <v>#REF!</v>
      </c>
    </row>
    <row r="85" spans="1:7" x14ac:dyDescent="0.25">
      <c r="A85" s="20" t="e">
        <f>IF(#REF!&lt;&gt;"",#REF!,"")</f>
        <v>#REF!</v>
      </c>
      <c r="B85" s="8" t="e">
        <f>#REF!</f>
        <v>#REF!</v>
      </c>
      <c r="C85" s="8" t="e">
        <f>#REF!</f>
        <v>#REF!</v>
      </c>
      <c r="D85" s="8" t="e">
        <f>#REF!</f>
        <v>#REF!</v>
      </c>
      <c r="E85" s="13" t="e">
        <f>IF(#REF!=0,#REF!,#REF!)</f>
        <v>#REF!</v>
      </c>
      <c r="F85" s="11" t="e">
        <f>#REF!</f>
        <v>#REF!</v>
      </c>
      <c r="G85" s="65" t="e">
        <f>#REF!</f>
        <v>#REF!</v>
      </c>
    </row>
    <row r="86" spans="1:7" x14ac:dyDescent="0.25">
      <c r="A86" s="20" t="e">
        <f>IF(#REF!&lt;&gt;"",#REF!,"")</f>
        <v>#REF!</v>
      </c>
      <c r="B86" s="8" t="e">
        <f>#REF!</f>
        <v>#REF!</v>
      </c>
      <c r="C86" s="8" t="e">
        <f>#REF!</f>
        <v>#REF!</v>
      </c>
      <c r="D86" s="8" t="e">
        <f>#REF!</f>
        <v>#REF!</v>
      </c>
      <c r="E86" s="13" t="e">
        <f>IF(#REF!=0,#REF!,#REF!)</f>
        <v>#REF!</v>
      </c>
      <c r="F86" s="11" t="e">
        <f>#REF!</f>
        <v>#REF!</v>
      </c>
      <c r="G86" s="65" t="e">
        <f>#REF!</f>
        <v>#REF!</v>
      </c>
    </row>
    <row r="87" spans="1:7" x14ac:dyDescent="0.25">
      <c r="A87" s="20" t="e">
        <f>IF(#REF!&lt;&gt;"",#REF!,"")</f>
        <v>#REF!</v>
      </c>
      <c r="B87" s="8" t="e">
        <f>#REF!</f>
        <v>#REF!</v>
      </c>
      <c r="C87" s="8" t="e">
        <f>#REF!</f>
        <v>#REF!</v>
      </c>
      <c r="D87" s="8" t="e">
        <f>#REF!</f>
        <v>#REF!</v>
      </c>
      <c r="E87" s="13" t="e">
        <f>IF(#REF!=0,#REF!,#REF!)</f>
        <v>#REF!</v>
      </c>
      <c r="F87" s="11" t="e">
        <f>#REF!</f>
        <v>#REF!</v>
      </c>
      <c r="G87" s="65" t="e">
        <f>#REF!</f>
        <v>#REF!</v>
      </c>
    </row>
    <row r="88" spans="1:7" x14ac:dyDescent="0.25">
      <c r="A88" s="14"/>
    </row>
    <row r="89" spans="1:7" x14ac:dyDescent="0.25">
      <c r="A89" s="20" t="s">
        <v>119</v>
      </c>
      <c r="B89" s="18" t="s">
        <v>78</v>
      </c>
      <c r="C89" s="19" t="s">
        <v>118</v>
      </c>
      <c r="D89" s="18" t="s">
        <v>14</v>
      </c>
    </row>
    <row r="90" spans="1:7" x14ac:dyDescent="0.25">
      <c r="A90" s="20" t="str">
        <f>IF(Compressors!A7&lt;&gt;"",Compressors!A7,"")</f>
        <v>Multi-Comp</v>
      </c>
      <c r="B90" s="8" t="str">
        <f>Compressors!B7</f>
        <v>Centrifugal Compressor</v>
      </c>
      <c r="C90" s="8">
        <f>Compressors!C7</f>
        <v>38555</v>
      </c>
      <c r="D90" s="11">
        <f ca="1">Compressors!J7</f>
        <v>27808817.174417254</v>
      </c>
      <c r="E90" s="65" t="str">
        <f>Compressors!L7</f>
        <v>Warning - extrapolation in cost estimate, Pc must be between 200 and 30000 for this type of compressor</v>
      </c>
    </row>
    <row r="91" spans="1:7" x14ac:dyDescent="0.25">
      <c r="A91" s="20" t="str">
        <f>IF(Compressors!A9&lt;&gt;"",Compressors!A9,"")</f>
        <v/>
      </c>
      <c r="B91" s="8">
        <f>Compressors!B9</f>
        <v>0</v>
      </c>
      <c r="C91" s="8">
        <f>Compressors!C9</f>
        <v>0</v>
      </c>
      <c r="D91" s="11">
        <f ca="1">Compressors!J9</f>
        <v>0</v>
      </c>
      <c r="E91" s="65" t="str">
        <f>Compressors!L9</f>
        <v/>
      </c>
    </row>
    <row r="92" spans="1:7" x14ac:dyDescent="0.25">
      <c r="A92" s="20" t="str">
        <f>IF(Compressors!A11&lt;&gt;"",Compressors!A11,"")</f>
        <v/>
      </c>
      <c r="B92" s="8">
        <f>Compressors!B11</f>
        <v>0</v>
      </c>
      <c r="C92" s="8">
        <f>Compressors!C11</f>
        <v>0</v>
      </c>
      <c r="D92" s="11">
        <f ca="1">Compressors!J11</f>
        <v>0</v>
      </c>
      <c r="E92" s="65" t="str">
        <f>Compressors!L11</f>
        <v/>
      </c>
    </row>
    <row r="93" spans="1:7" x14ac:dyDescent="0.25">
      <c r="A93" s="20" t="str">
        <f>IF(Compressors!A13&lt;&gt;"",Compressors!A13,"")</f>
        <v/>
      </c>
      <c r="B93" s="8">
        <f>Compressors!B13</f>
        <v>0</v>
      </c>
      <c r="C93" s="8">
        <f>Compressors!C13</f>
        <v>0</v>
      </c>
      <c r="D93" s="11">
        <f ca="1">Compressors!J13</f>
        <v>0</v>
      </c>
      <c r="E93" s="65" t="str">
        <f>Compressors!L13</f>
        <v/>
      </c>
    </row>
    <row r="94" spans="1:7" x14ac:dyDescent="0.25">
      <c r="A94" s="20" t="str">
        <f>IF(Compressors!A15&lt;&gt;"",Compressors!A15,"")</f>
        <v/>
      </c>
      <c r="B94" s="8">
        <f>Compressors!B15</f>
        <v>0</v>
      </c>
      <c r="C94" s="8">
        <f>Compressors!C15</f>
        <v>0</v>
      </c>
      <c r="D94" s="11">
        <f ca="1">Compressors!J15</f>
        <v>0</v>
      </c>
      <c r="E94" s="65" t="str">
        <f>Compressors!L15</f>
        <v/>
      </c>
    </row>
    <row r="95" spans="1:7" x14ac:dyDescent="0.25">
      <c r="A95" s="14"/>
    </row>
    <row r="96" spans="1:7" x14ac:dyDescent="0.25">
      <c r="A96" s="20" t="s">
        <v>77</v>
      </c>
      <c r="B96" s="18" t="s">
        <v>76</v>
      </c>
      <c r="C96" s="18" t="s">
        <v>121</v>
      </c>
      <c r="D96" s="16" t="s">
        <v>109</v>
      </c>
      <c r="E96" s="16" t="s">
        <v>14</v>
      </c>
    </row>
    <row r="97" spans="1:6" x14ac:dyDescent="0.25">
      <c r="A97" s="20" t="str">
        <f>IF('Shell and Tube Heat Exchangers'!A6&lt;&gt;"",'Shell and Tube Heat Exchangers'!A6,"")</f>
        <v>Stage 1</v>
      </c>
      <c r="B97" s="8" t="str">
        <f>'Shell and Tube Heat Exchangers'!B6</f>
        <v>Fixed Head</v>
      </c>
      <c r="C97" s="8">
        <f>'Shell and Tube Heat Exchangers'!C6</f>
        <v>9211.86</v>
      </c>
      <c r="D97" s="8">
        <f>'Shell and Tube Heat Exchangers'!H6</f>
        <v>53.52</v>
      </c>
      <c r="E97" s="11">
        <f ca="1">'Shell and Tube Heat Exchangers'!N6</f>
        <v>370620.58956350264</v>
      </c>
      <c r="F97" s="65" t="str">
        <f>'Shell and Tube Heat Exchangers'!P6</f>
        <v/>
      </c>
    </row>
    <row r="98" spans="1:6" x14ac:dyDescent="0.25">
      <c r="A98" s="20" t="str">
        <f>IF('Shell and Tube Heat Exchangers'!A8&lt;&gt;"",'Shell and Tube Heat Exchangers'!A8,"")</f>
        <v>Stage 2</v>
      </c>
      <c r="B98" s="8" t="str">
        <f>'Shell and Tube Heat Exchangers'!B8</f>
        <v>Fixed Head</v>
      </c>
      <c r="C98" s="8">
        <f>'Shell and Tube Heat Exchangers'!C8</f>
        <v>6784.52</v>
      </c>
      <c r="D98" s="8">
        <f>'Shell and Tube Heat Exchangers'!H8</f>
        <v>225.53</v>
      </c>
      <c r="E98" s="11">
        <f ca="1">'Shell and Tube Heat Exchangers'!N8</f>
        <v>294460.21550045238</v>
      </c>
      <c r="F98" s="65" t="str">
        <f>'Shell and Tube Heat Exchangers'!P8</f>
        <v/>
      </c>
    </row>
    <row r="99" spans="1:6" x14ac:dyDescent="0.25">
      <c r="A99" s="20" t="str">
        <f>IF('Shell and Tube Heat Exchangers'!A10&lt;&gt;"",'Shell and Tube Heat Exchangers'!A10,"")</f>
        <v>Stage 3</v>
      </c>
      <c r="B99" s="8" t="str">
        <f>'Shell and Tube Heat Exchangers'!B10</f>
        <v>Fixed Head</v>
      </c>
      <c r="C99" s="8">
        <f>'Shell and Tube Heat Exchangers'!C10</f>
        <v>6557.61</v>
      </c>
      <c r="D99" s="8">
        <f>'Shell and Tube Heat Exchangers'!H10</f>
        <v>985.24</v>
      </c>
      <c r="E99" s="11">
        <f ca="1">'Shell and Tube Heat Exchangers'!N10</f>
        <v>367966.75466923567</v>
      </c>
      <c r="F99" s="65" t="str">
        <f>'Shell and Tube Heat Exchangers'!P10</f>
        <v/>
      </c>
    </row>
    <row r="100" spans="1:6" x14ac:dyDescent="0.25">
      <c r="A100" s="20" t="str">
        <f>IF('Shell and Tube Heat Exchangers'!A12&lt;&gt;"",'Shell and Tube Heat Exchangers'!A12,"")</f>
        <v>Chiller</v>
      </c>
      <c r="B100" s="8" t="str">
        <f>'Shell and Tube Heat Exchangers'!B12</f>
        <v>Fixed Head</v>
      </c>
      <c r="C100" s="8">
        <f>'Shell and Tube Heat Exchangers'!C12</f>
        <v>6063.99</v>
      </c>
      <c r="D100" s="8">
        <f>'Shell and Tube Heat Exchangers'!H12</f>
        <v>985.24</v>
      </c>
      <c r="E100" s="11">
        <f ca="1">'Shell and Tube Heat Exchangers'!N12</f>
        <v>345562.17151900259</v>
      </c>
      <c r="F100" s="65" t="str">
        <f>'Shell and Tube Heat Exchangers'!P12</f>
        <v/>
      </c>
    </row>
    <row r="101" spans="1:6" x14ac:dyDescent="0.25">
      <c r="A101" s="20" t="str">
        <f>IF('Shell and Tube Heat Exchangers'!A14&lt;&gt;"",'Shell and Tube Heat Exchangers'!A14,"")</f>
        <v>Heat Ex</v>
      </c>
      <c r="B101" s="8" t="str">
        <f>'Shell and Tube Heat Exchangers'!B14</f>
        <v>Fixed Head</v>
      </c>
      <c r="C101" s="8">
        <f>'Shell and Tube Heat Exchangers'!C14</f>
        <v>2913.0369999999998</v>
      </c>
      <c r="D101" s="8">
        <f>'Shell and Tube Heat Exchangers'!H14</f>
        <v>217.55699999999999</v>
      </c>
      <c r="E101" s="11">
        <f ca="1">'Shell and Tube Heat Exchangers'!N14</f>
        <v>357723.48117055837</v>
      </c>
      <c r="F101" s="65" t="str">
        <f>'Shell and Tube Heat Exchangers'!P14</f>
        <v/>
      </c>
    </row>
    <row r="102" spans="1:6" x14ac:dyDescent="0.25">
      <c r="A102" s="14"/>
    </row>
    <row r="103" spans="1:6" x14ac:dyDescent="0.25">
      <c r="A103" s="20" t="s">
        <v>99</v>
      </c>
      <c r="B103" s="18" t="s">
        <v>122</v>
      </c>
      <c r="C103" s="16" t="s">
        <v>109</v>
      </c>
      <c r="D103" s="18" t="s">
        <v>14</v>
      </c>
    </row>
    <row r="104" spans="1:6" x14ac:dyDescent="0.25">
      <c r="A104" s="20" t="e">
        <f>IF(#REF!&lt;&gt;"",#REF!,"")</f>
        <v>#REF!</v>
      </c>
      <c r="B104" s="8" t="e">
        <f>#REF!</f>
        <v>#REF!</v>
      </c>
      <c r="C104" s="8" t="e">
        <f>#REF!</f>
        <v>#REF!</v>
      </c>
      <c r="D104" s="11" t="e">
        <f>#REF!</f>
        <v>#REF!</v>
      </c>
      <c r="E104" s="65" t="e">
        <f>#REF!</f>
        <v>#REF!</v>
      </c>
    </row>
    <row r="105" spans="1:6" x14ac:dyDescent="0.25">
      <c r="A105" s="20" t="e">
        <f>IF(#REF!&lt;&gt;"",#REF!,"")</f>
        <v>#REF!</v>
      </c>
      <c r="B105" s="8" t="e">
        <f>#REF!</f>
        <v>#REF!</v>
      </c>
      <c r="C105" s="8" t="e">
        <f>#REF!</f>
        <v>#REF!</v>
      </c>
      <c r="D105" s="11" t="e">
        <f>#REF!</f>
        <v>#REF!</v>
      </c>
      <c r="E105" s="65" t="e">
        <f>#REF!</f>
        <v>#REF!</v>
      </c>
    </row>
    <row r="106" spans="1:6" x14ac:dyDescent="0.25">
      <c r="A106" s="20" t="e">
        <f>IF(#REF!&lt;&gt;"",#REF!,"")</f>
        <v>#REF!</v>
      </c>
      <c r="B106" s="8" t="e">
        <f>#REF!</f>
        <v>#REF!</v>
      </c>
      <c r="C106" s="8" t="e">
        <f>#REF!</f>
        <v>#REF!</v>
      </c>
      <c r="D106" s="11" t="e">
        <f>#REF!</f>
        <v>#REF!</v>
      </c>
      <c r="E106" s="65" t="e">
        <f>#REF!</f>
        <v>#REF!</v>
      </c>
    </row>
    <row r="107" spans="1:6" x14ac:dyDescent="0.25">
      <c r="A107" s="20" t="e">
        <f>IF(#REF!&lt;&gt;"",#REF!,"")</f>
        <v>#REF!</v>
      </c>
      <c r="B107" s="8" t="e">
        <f>#REF!</f>
        <v>#REF!</v>
      </c>
      <c r="C107" s="8" t="e">
        <f>#REF!</f>
        <v>#REF!</v>
      </c>
      <c r="D107" s="11" t="e">
        <f>#REF!</f>
        <v>#REF!</v>
      </c>
      <c r="E107" s="65" t="e">
        <f>#REF!</f>
        <v>#REF!</v>
      </c>
    </row>
    <row r="108" spans="1:6" x14ac:dyDescent="0.25">
      <c r="A108" s="20" t="e">
        <f>IF(#REF!&lt;&gt;"",#REF!,"")</f>
        <v>#REF!</v>
      </c>
      <c r="B108" s="8" t="e">
        <f>#REF!</f>
        <v>#REF!</v>
      </c>
      <c r="C108" s="8" t="e">
        <f>#REF!</f>
        <v>#REF!</v>
      </c>
      <c r="D108" s="11" t="e">
        <f>#REF!</f>
        <v>#REF!</v>
      </c>
      <c r="E108" s="65" t="e">
        <f>#REF!</f>
        <v>#REF!</v>
      </c>
    </row>
    <row r="109" spans="1:6" x14ac:dyDescent="0.25">
      <c r="A109" s="14"/>
    </row>
    <row r="110" spans="1:6" x14ac:dyDescent="0.25">
      <c r="A110" s="20" t="s">
        <v>28</v>
      </c>
      <c r="B110" s="8" t="s">
        <v>108</v>
      </c>
      <c r="C110" s="8" t="s">
        <v>109</v>
      </c>
      <c r="D110" s="8" t="s">
        <v>64</v>
      </c>
      <c r="E110" s="8" t="s">
        <v>92</v>
      </c>
    </row>
    <row r="111" spans="1:6" x14ac:dyDescent="0.25">
      <c r="A111" s="20" t="e">
        <f>IF(#REF!&lt;&gt;"",#REF!,"")</f>
        <v>#REF!</v>
      </c>
      <c r="B111" s="15" t="e">
        <f>#REF!</f>
        <v>#REF!</v>
      </c>
      <c r="C111" s="8" t="e">
        <f>#REF!</f>
        <v>#REF!</v>
      </c>
      <c r="D111" s="8" t="e">
        <f>#REF!</f>
        <v>#REF!</v>
      </c>
      <c r="E111" s="11" t="e">
        <f>#REF!</f>
        <v>#REF!</v>
      </c>
      <c r="F111" s="65" t="e">
        <f>#REF!</f>
        <v>#REF!</v>
      </c>
    </row>
    <row r="112" spans="1:6" x14ac:dyDescent="0.25">
      <c r="A112" s="20" t="e">
        <f>IF(#REF!&lt;&gt;"",#REF!,"")</f>
        <v>#REF!</v>
      </c>
      <c r="B112" s="15" t="e">
        <f>#REF!</f>
        <v>#REF!</v>
      </c>
      <c r="C112" s="8" t="e">
        <f>#REF!</f>
        <v>#REF!</v>
      </c>
      <c r="D112" s="8" t="e">
        <f>#REF!</f>
        <v>#REF!</v>
      </c>
      <c r="E112" s="11" t="e">
        <f>#REF!</f>
        <v>#REF!</v>
      </c>
      <c r="F112" s="65" t="e">
        <f>#REF!</f>
        <v>#REF!</v>
      </c>
    </row>
    <row r="113" spans="1:8" x14ac:dyDescent="0.25">
      <c r="A113" s="20" t="e">
        <f>IF(#REF!&lt;&gt;"",#REF!,"")</f>
        <v>#REF!</v>
      </c>
      <c r="B113" s="15" t="e">
        <f>#REF!</f>
        <v>#REF!</v>
      </c>
      <c r="C113" s="8" t="e">
        <f>#REF!</f>
        <v>#REF!</v>
      </c>
      <c r="D113" s="8" t="e">
        <f>#REF!</f>
        <v>#REF!</v>
      </c>
      <c r="E113" s="11" t="e">
        <f>#REF!</f>
        <v>#REF!</v>
      </c>
      <c r="F113" s="65" t="e">
        <f>#REF!</f>
        <v>#REF!</v>
      </c>
    </row>
    <row r="114" spans="1:8" x14ac:dyDescent="0.25">
      <c r="A114" s="20" t="e">
        <f>IF(#REF!&lt;&gt;"",#REF!,"")</f>
        <v>#REF!</v>
      </c>
      <c r="B114" s="15" t="e">
        <f>#REF!</f>
        <v>#REF!</v>
      </c>
      <c r="C114" s="8" t="e">
        <f>#REF!</f>
        <v>#REF!</v>
      </c>
      <c r="D114" s="8" t="e">
        <f>#REF!</f>
        <v>#REF!</v>
      </c>
      <c r="E114" s="11" t="e">
        <f>#REF!</f>
        <v>#REF!</v>
      </c>
      <c r="F114" s="65" t="e">
        <f>#REF!</f>
        <v>#REF!</v>
      </c>
    </row>
    <row r="115" spans="1:8" x14ac:dyDescent="0.25">
      <c r="A115" s="20" t="e">
        <f>IF(#REF!&lt;&gt;"",#REF!,"")</f>
        <v>#REF!</v>
      </c>
      <c r="B115" s="15" t="e">
        <f>#REF!</f>
        <v>#REF!</v>
      </c>
      <c r="C115" s="8" t="e">
        <f>#REF!</f>
        <v>#REF!</v>
      </c>
      <c r="D115" s="8" t="e">
        <f>#REF!</f>
        <v>#REF!</v>
      </c>
      <c r="E115" s="11" t="e">
        <f>#REF!</f>
        <v>#REF!</v>
      </c>
      <c r="F115" s="65" t="e">
        <f>#REF!</f>
        <v>#REF!</v>
      </c>
    </row>
    <row r="116" spans="1:8" x14ac:dyDescent="0.25">
      <c r="A116" s="14"/>
    </row>
    <row r="117" spans="1:8" x14ac:dyDescent="0.25">
      <c r="A117" s="20" t="s">
        <v>123</v>
      </c>
      <c r="B117" s="8" t="s">
        <v>78</v>
      </c>
      <c r="C117" s="8" t="s">
        <v>79</v>
      </c>
      <c r="D117" s="8" t="s">
        <v>80</v>
      </c>
      <c r="E117" s="8" t="s">
        <v>72</v>
      </c>
      <c r="F117" s="8" t="s">
        <v>84</v>
      </c>
      <c r="G117" s="8" t="s">
        <v>92</v>
      </c>
    </row>
    <row r="118" spans="1:8" x14ac:dyDescent="0.25">
      <c r="A118" s="20" t="str">
        <f>IF('Pressure Vessels'!A6&lt;&gt;"",'Pressure Vessels'!A6,"")</f>
        <v>SEPARATOR1</v>
      </c>
      <c r="B118" s="8" t="str">
        <f>'Pressure Vessels'!B6</f>
        <v>Horizontal</v>
      </c>
      <c r="C118" s="8">
        <f>'Pressure Vessels'!C6</f>
        <v>12</v>
      </c>
      <c r="D118" s="8">
        <f>'Pressure Vessels'!D6</f>
        <v>6</v>
      </c>
      <c r="E118" s="8">
        <f>'Pressure Vessels'!E6</f>
        <v>53.62</v>
      </c>
      <c r="F118" s="11">
        <f>'Pressure Vessels'!R6</f>
        <v>15074.101953317453</v>
      </c>
      <c r="G118" s="11">
        <f ca="1">'Pressure Vessels'!Y6</f>
        <v>257301.69598704891</v>
      </c>
      <c r="H118" s="65" t="str">
        <f>'Pressure Vessels'!AA6</f>
        <v/>
      </c>
    </row>
    <row r="119" spans="1:8" x14ac:dyDescent="0.25">
      <c r="A119" s="20" t="str">
        <f>IF('Pressure Vessels'!A8&lt;&gt;"",'Pressure Vessels'!A8,"")</f>
        <v xml:space="preserve">SEPARATOR2 </v>
      </c>
      <c r="B119" s="8" t="str">
        <f>'Pressure Vessels'!B8</f>
        <v>Horizontal</v>
      </c>
      <c r="C119" s="8">
        <f>'Pressure Vessels'!C8</f>
        <v>12</v>
      </c>
      <c r="D119" s="8">
        <f>'Pressure Vessels'!D8</f>
        <v>6</v>
      </c>
      <c r="E119" s="8">
        <f>'Pressure Vessels'!E8</f>
        <v>225.59</v>
      </c>
      <c r="F119" s="11">
        <f>'Pressure Vessels'!R8</f>
        <v>39463.66016992095</v>
      </c>
      <c r="G119" s="11">
        <f ca="1">'Pressure Vessels'!Y8</f>
        <v>431851.3575829097</v>
      </c>
      <c r="H119" s="65" t="str">
        <f>'Pressure Vessels'!AA8</f>
        <v/>
      </c>
    </row>
    <row r="120" spans="1:8" x14ac:dyDescent="0.25">
      <c r="A120" s="20" t="str">
        <f>IF('Pressure Vessels'!A10&lt;&gt;"",'Pressure Vessels'!A10,"")</f>
        <v>SEPARATOR3</v>
      </c>
      <c r="B120" s="8" t="str">
        <f>'Pressure Vessels'!B10</f>
        <v>Horizontal</v>
      </c>
      <c r="C120" s="8">
        <f>'Pressure Vessels'!C10</f>
        <v>12</v>
      </c>
      <c r="D120" s="8">
        <f>'Pressure Vessels'!D10</f>
        <v>6</v>
      </c>
      <c r="E120" s="8">
        <f>'Pressure Vessels'!E10</f>
        <v>985.95</v>
      </c>
      <c r="F120" s="11">
        <f>'Pressure Vessels'!R10</f>
        <v>156603.89410447344</v>
      </c>
      <c r="G120" s="11">
        <f ca="1">'Pressure Vessels'!Y10</f>
        <v>947105.59517034236</v>
      </c>
      <c r="H120" s="65" t="str">
        <f>'Pressure Vessels'!AA10</f>
        <v/>
      </c>
    </row>
    <row r="121" spans="1:8" x14ac:dyDescent="0.25">
      <c r="A121" s="20" t="str">
        <f>IF('Pressure Vessels'!A12&lt;&gt;"",'Pressure Vessels'!A12,"")</f>
        <v>STORAGE TANK</v>
      </c>
      <c r="B121" s="8" t="str">
        <f>'Pressure Vessels'!B12</f>
        <v>Horizontal</v>
      </c>
      <c r="C121" s="8">
        <f>'Pressure Vessels'!C12</f>
        <v>9.8332999999999995</v>
      </c>
      <c r="D121" s="8">
        <f>'Pressure Vessels'!D12</f>
        <v>44.333300000000001</v>
      </c>
      <c r="E121" s="8">
        <f>'Pressure Vessels'!E12</f>
        <v>217.55699999999999</v>
      </c>
      <c r="F121" s="11">
        <f>'Pressure Vessels'!R12</f>
        <v>91594.224921775924</v>
      </c>
      <c r="G121" s="11">
        <f ca="1">'Pressure Vessels'!Y12</f>
        <v>693196.11986075423</v>
      </c>
      <c r="H121" s="65" t="str">
        <f>'Pressure Vessels'!AA12</f>
        <v/>
      </c>
    </row>
    <row r="122" spans="1:8" x14ac:dyDescent="0.25">
      <c r="A122" s="20" t="str">
        <f>IF('Pressure Vessels'!A14&lt;&gt;"",'Pressure Vessels'!A14,"")</f>
        <v>SV VESSEL</v>
      </c>
      <c r="B122" s="8" t="str">
        <f>'Pressure Vessels'!B14</f>
        <v>Vertical</v>
      </c>
      <c r="C122" s="8">
        <f>'Pressure Vessels'!C14</f>
        <v>12.59843</v>
      </c>
      <c r="D122" s="8">
        <f>'Pressure Vessels'!D14</f>
        <v>50</v>
      </c>
      <c r="E122" s="8">
        <f>'Pressure Vessels'!E14</f>
        <v>217.55699999999999</v>
      </c>
      <c r="F122" s="11">
        <f>'Pressure Vessels'!R14</f>
        <v>159477.17459735365</v>
      </c>
      <c r="G122" s="11">
        <f ca="1">'Pressure Vessels'!Y14</f>
        <v>3274774.4832645073</v>
      </c>
      <c r="H122" s="65" t="str">
        <f>'Pressure Vessels'!AA14</f>
        <v/>
      </c>
    </row>
    <row r="123" spans="1:8" x14ac:dyDescent="0.25">
      <c r="A123" s="14"/>
    </row>
    <row r="124" spans="1:8" x14ac:dyDescent="0.25">
      <c r="A124" s="20" t="s">
        <v>101</v>
      </c>
      <c r="B124" s="8" t="s">
        <v>124</v>
      </c>
      <c r="C124" s="8" t="s">
        <v>125</v>
      </c>
      <c r="D124" s="8" t="s">
        <v>109</v>
      </c>
      <c r="E124" s="8" t="s">
        <v>126</v>
      </c>
      <c r="F124" s="8" t="s">
        <v>92</v>
      </c>
    </row>
    <row r="125" spans="1:8" x14ac:dyDescent="0.25">
      <c r="A125" s="20" t="e">
        <f>IF(#REF!&lt;&gt;"",#REF!,"")</f>
        <v>#REF!</v>
      </c>
      <c r="B125" s="8" t="e">
        <f>#REF!</f>
        <v>#REF!</v>
      </c>
      <c r="C125" s="8" t="e">
        <f>#REF!</f>
        <v>#REF!</v>
      </c>
      <c r="D125" s="8" t="e">
        <f>#REF!</f>
        <v>#REF!</v>
      </c>
      <c r="E125" s="8" t="e">
        <f>#REF!</f>
        <v>#REF!</v>
      </c>
      <c r="F125" s="11" t="e">
        <f>#REF!</f>
        <v>#REF!</v>
      </c>
      <c r="G125" s="65" t="e">
        <f>#REF!</f>
        <v>#REF!</v>
      </c>
    </row>
    <row r="126" spans="1:8" x14ac:dyDescent="0.25">
      <c r="A126" s="20" t="e">
        <f>IF(#REF!&lt;&gt;"",#REF!,"")</f>
        <v>#REF!</v>
      </c>
      <c r="B126" s="8" t="e">
        <f>#REF!</f>
        <v>#REF!</v>
      </c>
      <c r="C126" s="8" t="e">
        <f>#REF!</f>
        <v>#REF!</v>
      </c>
      <c r="D126" s="8" t="e">
        <f>#REF!</f>
        <v>#REF!</v>
      </c>
      <c r="E126" s="8" t="e">
        <f>#REF!</f>
        <v>#REF!</v>
      </c>
      <c r="F126" s="11" t="e">
        <f>#REF!</f>
        <v>#REF!</v>
      </c>
      <c r="G126" s="65" t="e">
        <f>#REF!</f>
        <v>#REF!</v>
      </c>
    </row>
    <row r="127" spans="1:8" x14ac:dyDescent="0.25">
      <c r="A127" s="20" t="e">
        <f>IF(#REF!&lt;&gt;"",#REF!,"")</f>
        <v>#REF!</v>
      </c>
      <c r="B127" s="8" t="e">
        <f>#REF!</f>
        <v>#REF!</v>
      </c>
      <c r="C127" s="8" t="e">
        <f>#REF!</f>
        <v>#REF!</v>
      </c>
      <c r="D127" s="8" t="e">
        <f>#REF!</f>
        <v>#REF!</v>
      </c>
      <c r="E127" s="8" t="e">
        <f>#REF!</f>
        <v>#REF!</v>
      </c>
      <c r="F127" s="11" t="e">
        <f>#REF!</f>
        <v>#REF!</v>
      </c>
      <c r="G127" s="65" t="e">
        <f>#REF!</f>
        <v>#REF!</v>
      </c>
    </row>
    <row r="128" spans="1:8" x14ac:dyDescent="0.25">
      <c r="A128" s="20" t="e">
        <f>IF(#REF!&lt;&gt;"",#REF!,"")</f>
        <v>#REF!</v>
      </c>
      <c r="B128" s="8" t="e">
        <f>#REF!</f>
        <v>#REF!</v>
      </c>
      <c r="C128" s="8" t="e">
        <f>#REF!</f>
        <v>#REF!</v>
      </c>
      <c r="D128" s="8" t="e">
        <f>#REF!</f>
        <v>#REF!</v>
      </c>
      <c r="E128" s="8" t="e">
        <f>#REF!</f>
        <v>#REF!</v>
      </c>
      <c r="F128" s="11" t="e">
        <f>#REF!</f>
        <v>#REF!</v>
      </c>
      <c r="G128" s="65" t="e">
        <f>#REF!</f>
        <v>#REF!</v>
      </c>
    </row>
    <row r="129" spans="1:8" x14ac:dyDescent="0.25">
      <c r="A129" s="20" t="e">
        <f>IF(#REF!&lt;&gt;"",#REF!,"")</f>
        <v>#REF!</v>
      </c>
      <c r="B129" s="8" t="e">
        <f>#REF!</f>
        <v>#REF!</v>
      </c>
      <c r="C129" s="8" t="e">
        <f>#REF!</f>
        <v>#REF!</v>
      </c>
      <c r="D129" s="8" t="e">
        <f>#REF!</f>
        <v>#REF!</v>
      </c>
      <c r="E129" s="8" t="e">
        <f>#REF!</f>
        <v>#REF!</v>
      </c>
      <c r="F129" s="11" t="e">
        <f>#REF!</f>
        <v>#REF!</v>
      </c>
      <c r="G129" s="65" t="e">
        <f>#REF!</f>
        <v>#REF!</v>
      </c>
    </row>
    <row r="130" spans="1:8" x14ac:dyDescent="0.25">
      <c r="A130" s="14"/>
    </row>
    <row r="131" spans="1:8" x14ac:dyDescent="0.25">
      <c r="A131" s="20" t="s">
        <v>102</v>
      </c>
      <c r="B131" s="8" t="s">
        <v>124</v>
      </c>
      <c r="C131" s="8" t="s">
        <v>127</v>
      </c>
      <c r="D131" s="8" t="s">
        <v>109</v>
      </c>
      <c r="E131" s="8" t="s">
        <v>90</v>
      </c>
      <c r="F131" s="8" t="s">
        <v>91</v>
      </c>
      <c r="G131" s="8" t="s">
        <v>92</v>
      </c>
    </row>
    <row r="132" spans="1:8" x14ac:dyDescent="0.25">
      <c r="A132" s="20" t="e">
        <f>IF(#REF!&lt;&gt;"",#REF!,"")</f>
        <v>#REF!</v>
      </c>
      <c r="B132" s="8" t="e">
        <f>#REF!</f>
        <v>#REF!</v>
      </c>
      <c r="C132" s="8" t="e">
        <f>#REF!</f>
        <v>#REF!</v>
      </c>
      <c r="D132" s="8" t="e">
        <f>#REF!</f>
        <v>#REF!</v>
      </c>
      <c r="E132" s="8" t="e">
        <f>#REF!</f>
        <v>#REF!</v>
      </c>
      <c r="F132" s="8" t="e">
        <f>#REF!</f>
        <v>#REF!</v>
      </c>
      <c r="G132" s="11" t="e">
        <f>#REF!</f>
        <v>#REF!</v>
      </c>
      <c r="H132" s="65" t="e">
        <f>#REF!</f>
        <v>#REF!</v>
      </c>
    </row>
    <row r="133" spans="1:8" x14ac:dyDescent="0.25">
      <c r="A133" s="20" t="e">
        <f>IF(#REF!&lt;&gt;"",#REF!,"")</f>
        <v>#REF!</v>
      </c>
      <c r="B133" s="8" t="e">
        <f>#REF!</f>
        <v>#REF!</v>
      </c>
      <c r="C133" s="8" t="e">
        <f>#REF!</f>
        <v>#REF!</v>
      </c>
      <c r="D133" s="8" t="e">
        <f>#REF!</f>
        <v>#REF!</v>
      </c>
      <c r="E133" s="8" t="e">
        <f>#REF!</f>
        <v>#REF!</v>
      </c>
      <c r="F133" s="8" t="e">
        <f>#REF!</f>
        <v>#REF!</v>
      </c>
      <c r="G133" s="11" t="e">
        <f>#REF!</f>
        <v>#REF!</v>
      </c>
      <c r="H133" s="65" t="e">
        <f>#REF!</f>
        <v>#REF!</v>
      </c>
    </row>
    <row r="134" spans="1:8" x14ac:dyDescent="0.25">
      <c r="A134" s="20" t="e">
        <f>IF(#REF!&lt;&gt;"",#REF!,"")</f>
        <v>#REF!</v>
      </c>
      <c r="B134" s="8" t="e">
        <f>#REF!</f>
        <v>#REF!</v>
      </c>
      <c r="C134" s="8" t="e">
        <f>#REF!</f>
        <v>#REF!</v>
      </c>
      <c r="D134" s="8" t="e">
        <f>#REF!</f>
        <v>#REF!</v>
      </c>
      <c r="E134" s="8" t="e">
        <f>#REF!</f>
        <v>#REF!</v>
      </c>
      <c r="F134" s="8" t="e">
        <f>#REF!</f>
        <v>#REF!</v>
      </c>
      <c r="G134" s="11" t="e">
        <f>#REF!</f>
        <v>#REF!</v>
      </c>
      <c r="H134" s="65" t="e">
        <f>#REF!</f>
        <v>#REF!</v>
      </c>
    </row>
    <row r="135" spans="1:8" x14ac:dyDescent="0.25">
      <c r="A135" s="20" t="e">
        <f>IF(#REF!&lt;&gt;"",#REF!,"")</f>
        <v>#REF!</v>
      </c>
      <c r="B135" s="8" t="e">
        <f>#REF!</f>
        <v>#REF!</v>
      </c>
      <c r="C135" s="8" t="e">
        <f>#REF!</f>
        <v>#REF!</v>
      </c>
      <c r="D135" s="8" t="e">
        <f>#REF!</f>
        <v>#REF!</v>
      </c>
      <c r="E135" s="8" t="e">
        <f>#REF!</f>
        <v>#REF!</v>
      </c>
      <c r="F135" s="8" t="e">
        <f>#REF!</f>
        <v>#REF!</v>
      </c>
      <c r="G135" s="11" t="e">
        <f>#REF!</f>
        <v>#REF!</v>
      </c>
      <c r="H135" s="65" t="e">
        <f>#REF!</f>
        <v>#REF!</v>
      </c>
    </row>
    <row r="136" spans="1:8" x14ac:dyDescent="0.25">
      <c r="A136" s="20" t="e">
        <f>IF(#REF!&lt;&gt;"",#REF!,"")</f>
        <v>#REF!</v>
      </c>
      <c r="B136" s="8" t="e">
        <f>#REF!</f>
        <v>#REF!</v>
      </c>
      <c r="C136" s="8" t="e">
        <f>#REF!</f>
        <v>#REF!</v>
      </c>
      <c r="D136" s="8" t="e">
        <f>#REF!</f>
        <v>#REF!</v>
      </c>
      <c r="E136" s="8" t="e">
        <f>#REF!</f>
        <v>#REF!</v>
      </c>
      <c r="F136" s="8" t="e">
        <f>#REF!</f>
        <v>#REF!</v>
      </c>
      <c r="G136" s="11" t="e">
        <f>#REF!</f>
        <v>#REF!</v>
      </c>
      <c r="H136" s="65" t="e">
        <f>#REF!</f>
        <v>#REF!</v>
      </c>
    </row>
    <row r="137" spans="1:8" x14ac:dyDescent="0.25">
      <c r="G137" s="12"/>
    </row>
    <row r="138" spans="1:8" x14ac:dyDescent="0.25">
      <c r="A138" s="20" t="s">
        <v>204</v>
      </c>
      <c r="B138" s="8" t="s">
        <v>212</v>
      </c>
      <c r="C138" s="8" t="s">
        <v>92</v>
      </c>
    </row>
    <row r="139" spans="1:8" x14ac:dyDescent="0.25">
      <c r="A139" s="20" t="str">
        <f>IF('Storage Tanks'!A6&lt;&gt;"",'Storage Tanks'!A6,"")</f>
        <v/>
      </c>
      <c r="B139" s="8">
        <f>'Storage Tanks'!C6</f>
        <v>0</v>
      </c>
      <c r="C139" s="11">
        <f ca="1">'Storage Tanks'!G6</f>
        <v>0</v>
      </c>
      <c r="D139" s="65" t="str">
        <f>'Storage Tanks'!I6</f>
        <v/>
      </c>
    </row>
    <row r="140" spans="1:8" x14ac:dyDescent="0.25">
      <c r="A140" s="20" t="str">
        <f>IF('Storage Tanks'!A8&lt;&gt;"",'Storage Tanks'!A8,"")</f>
        <v/>
      </c>
      <c r="B140" s="8">
        <f>'Storage Tanks'!C8</f>
        <v>0</v>
      </c>
      <c r="C140" s="11">
        <f ca="1">'Storage Tanks'!G8</f>
        <v>0</v>
      </c>
      <c r="D140" s="65" t="str">
        <f>'Storage Tanks'!I8</f>
        <v/>
      </c>
    </row>
    <row r="141" spans="1:8" x14ac:dyDescent="0.25">
      <c r="A141" s="20" t="str">
        <f>IF('Storage Tanks'!A10&lt;&gt;"",'Storage Tanks'!A10,"")</f>
        <v/>
      </c>
      <c r="B141" s="8">
        <f>'Storage Tanks'!C10</f>
        <v>0</v>
      </c>
      <c r="C141" s="11">
        <f ca="1">'Storage Tanks'!G10</f>
        <v>0</v>
      </c>
      <c r="D141" s="65" t="str">
        <f>'Storage Tanks'!I10</f>
        <v/>
      </c>
    </row>
    <row r="142" spans="1:8" x14ac:dyDescent="0.25">
      <c r="A142" s="20" t="str">
        <f>IF('Storage Tanks'!A12&lt;&gt;"",'Storage Tanks'!A12,"")</f>
        <v/>
      </c>
      <c r="B142" s="8">
        <f>'Storage Tanks'!C12</f>
        <v>0</v>
      </c>
      <c r="C142" s="11">
        <f ca="1">'Storage Tanks'!G12</f>
        <v>0</v>
      </c>
      <c r="D142" s="65" t="str">
        <f>'Storage Tanks'!I12</f>
        <v/>
      </c>
    </row>
    <row r="143" spans="1:8" x14ac:dyDescent="0.25">
      <c r="A143" s="20" t="str">
        <f>IF('Storage Tanks'!A14&lt;&gt;"",'Storage Tanks'!A14,"")</f>
        <v/>
      </c>
      <c r="B143" s="8">
        <f>'Storage Tanks'!C14</f>
        <v>0</v>
      </c>
      <c r="C143" s="11">
        <f ca="1">'Storage Tanks'!G14</f>
        <v>0</v>
      </c>
      <c r="D143" s="65" t="str">
        <f>'Storage Tanks'!I14</f>
        <v/>
      </c>
    </row>
  </sheetData>
  <sheetProtection algorithmName="SHA-512" hashValue="IJgoFVjywz0zTYHSQmUpTqyMni2Jc6AZHfIfbZQQAqf8O+XjLP80THS3pA6jbjwap1mLQkiM+ONAzzUaAtMbEw==" saltValue="9gRE0qMjT0HjAioSQL+tIw==" spinCount="100000" sheet="1" objects="1" scenarios="1"/>
  <phoneticPr fontId="4" type="noConversion"/>
  <hyperlinks>
    <hyperlink ref="A22" location="'Electric Motors'!A1" display="Electric Motors" xr:uid="{00000000-0004-0000-0000-000000000000}"/>
    <hyperlink ref="A23" location="'Centrifugal Pumps'!A1" display="Centrifugal Pumps" xr:uid="{00000000-0004-0000-0000-000001000000}"/>
    <hyperlink ref="A24" location="'External Gear Pumps'!A1" display="External Gear Pumps" xr:uid="{00000000-0004-0000-0000-000002000000}"/>
    <hyperlink ref="A25" location="'Reciprocating Plunger Pumps'!A1" display="Reciprocating Plunger Pumps" xr:uid="{00000000-0004-0000-0000-000003000000}"/>
    <hyperlink ref="A32" location="'Fired Heaters'!A1" display="Fired Heaters" xr:uid="{00000000-0004-0000-0000-000004000000}"/>
    <hyperlink ref="A27" location="'Centrifugal (turbo) Blower'!A1" display="Centrifugal (turbo) Blower" xr:uid="{00000000-0004-0000-0000-000005000000}"/>
    <hyperlink ref="A28" location="'Rotary Straight-Lobe Blowers'!A1" display="Rotary Straight Lobe Blower" xr:uid="{00000000-0004-0000-0000-000006000000}"/>
    <hyperlink ref="A29" location="Compressors!A1" display="Compressors" xr:uid="{00000000-0004-0000-0000-000007000000}"/>
    <hyperlink ref="A26" location="Fans!A1" display="Fans" xr:uid="{00000000-0004-0000-0000-000008000000}"/>
    <hyperlink ref="A30" location="'Shell and Tube Heat Exchangers'!A1" display="Shell and Tube Heat Exchanger" xr:uid="{00000000-0004-0000-0000-000009000000}"/>
    <hyperlink ref="A31" location="'Double Pipe Heat Ex'!A1" display="Double Pipe Heat Exchanger" xr:uid="{00000000-0004-0000-0000-00000A000000}"/>
    <hyperlink ref="A33" location="'Pressure Vessels'!A1" display="Pressure Vessel" xr:uid="{00000000-0004-0000-0000-00000B000000}"/>
    <hyperlink ref="A34" location="'Packed column'!A1" display="Packed Column" xr:uid="{00000000-0004-0000-0000-00000C000000}"/>
    <hyperlink ref="A35" location="'Tray Column'!A1" display="Tray Column" xr:uid="{00000000-0004-0000-0000-00000D000000}"/>
    <hyperlink ref="A36" location="'Storage Tanks'!A1" display="Storage Tanks" xr:uid="{00000000-0004-0000-0000-00000E000000}"/>
  </hyperlinks>
  <pageMargins left="0.75" right="0.75" top="1" bottom="1" header="0.5" footer="0.5"/>
  <pageSetup scale="59" fitToHeight="2" orientation="portrait" horizontalDpi="4294967292" verticalDpi="4294967292" r:id="rId1"/>
  <headerFooter>
    <oddHeader>&amp;C&amp;"Calibri"&amp;10&amp;K000000 Public&amp;1#_x000D_</oddHeader>
    <oddFooter>&amp;C_x000D_&amp;1#&amp;"Calibri"&amp;10&amp;K000000 Public</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M37"/>
  <sheetViews>
    <sheetView workbookViewId="0">
      <selection activeCell="G7" sqref="G7"/>
    </sheetView>
  </sheetViews>
  <sheetFormatPr defaultColWidth="11" defaultRowHeight="15.75" x14ac:dyDescent="0.25"/>
  <cols>
    <col min="1" max="7" width="11" style="26"/>
    <col min="8" max="8" width="0" style="26" hidden="1" customWidth="1"/>
    <col min="9" max="9" width="11" style="26"/>
    <col min="10" max="10" width="11.625" style="26" customWidth="1"/>
    <col min="11" max="11" width="11" style="26"/>
    <col min="12" max="12" width="0.125" style="26" customWidth="1"/>
    <col min="13" max="16384" width="11" style="26"/>
  </cols>
  <sheetData>
    <row r="1" spans="1:13" x14ac:dyDescent="0.25">
      <c r="A1" s="52" t="s">
        <v>0</v>
      </c>
      <c r="J1" s="34" t="s">
        <v>158</v>
      </c>
    </row>
    <row r="2" spans="1:13" x14ac:dyDescent="0.25">
      <c r="A2" s="26" t="s">
        <v>138</v>
      </c>
      <c r="B2" s="26">
        <v>3.3</v>
      </c>
      <c r="D2" s="26" t="s">
        <v>139</v>
      </c>
      <c r="E2" s="26">
        <f>'Summary Page'!B19</f>
        <v>800</v>
      </c>
    </row>
    <row r="4" spans="1:13" x14ac:dyDescent="0.25">
      <c r="A4" s="35" t="s">
        <v>190</v>
      </c>
      <c r="B4" s="35" t="s">
        <v>2</v>
      </c>
      <c r="C4" s="35" t="s">
        <v>3</v>
      </c>
      <c r="D4" s="35" t="s">
        <v>5</v>
      </c>
      <c r="E4" s="35" t="s">
        <v>8</v>
      </c>
      <c r="F4" s="35" t="s">
        <v>9</v>
      </c>
      <c r="G4" s="35" t="s">
        <v>10</v>
      </c>
      <c r="H4" s="35"/>
      <c r="I4" s="35" t="s">
        <v>11</v>
      </c>
      <c r="J4" s="35" t="s">
        <v>11</v>
      </c>
      <c r="K4" s="35" t="s">
        <v>14</v>
      </c>
      <c r="L4" s="66" t="s">
        <v>213</v>
      </c>
    </row>
    <row r="5" spans="1:13" x14ac:dyDescent="0.25">
      <c r="A5" s="27"/>
      <c r="B5" s="27" t="s">
        <v>1</v>
      </c>
      <c r="C5" s="27" t="s">
        <v>4</v>
      </c>
      <c r="D5" s="27" t="s">
        <v>7</v>
      </c>
      <c r="E5" s="27" t="s">
        <v>135</v>
      </c>
      <c r="F5" s="27" t="s">
        <v>241</v>
      </c>
      <c r="G5" s="27" t="s">
        <v>242</v>
      </c>
      <c r="H5" s="27"/>
      <c r="I5" s="27" t="s">
        <v>135</v>
      </c>
      <c r="J5" s="27" t="s">
        <v>13</v>
      </c>
      <c r="K5" s="27" t="s">
        <v>13</v>
      </c>
    </row>
    <row r="6" spans="1:13" x14ac:dyDescent="0.25">
      <c r="A6" s="51"/>
      <c r="B6" s="28"/>
      <c r="C6" s="28"/>
      <c r="D6" s="30">
        <f>B6*(C6)^0.5</f>
        <v>0</v>
      </c>
      <c r="E6" s="30">
        <f>IF(AND(B6=0,C6=0),0,EXP(12.1656-1.1448*LN(D6)+0.0862*(LN(D6))^2))</f>
        <v>0</v>
      </c>
      <c r="F6" s="28"/>
      <c r="G6" s="28"/>
      <c r="H6" s="26">
        <f ca="1">_xlfn.SHEETS('Summary Page'!$B$19)</f>
        <v>1</v>
      </c>
      <c r="I6" s="30">
        <f ca="1">E6*F6*G6*H6</f>
        <v>0</v>
      </c>
      <c r="J6" s="30">
        <f ca="1">($E$2/567)*I6</f>
        <v>0</v>
      </c>
      <c r="K6" s="32">
        <f ca="1">J6*$B2</f>
        <v>0</v>
      </c>
      <c r="L6" s="26">
        <f>IF(D6&lt;&gt;0,IF(AND(D6&gt;=400,D6&lt;=100000),0,1),0)</f>
        <v>0</v>
      </c>
      <c r="M6" s="64" t="str">
        <f>IF(L6&gt;0,"Warning - extrapolation in cost estimate, S must be between 400 and 100,000","")</f>
        <v/>
      </c>
    </row>
    <row r="7" spans="1:13" x14ac:dyDescent="0.25">
      <c r="B7" s="36"/>
      <c r="C7" s="36"/>
      <c r="D7" s="30"/>
      <c r="E7" s="30"/>
      <c r="F7" s="36"/>
      <c r="G7" s="36"/>
      <c r="I7" s="30"/>
      <c r="J7" s="30"/>
      <c r="K7" s="32"/>
    </row>
    <row r="8" spans="1:13" x14ac:dyDescent="0.25">
      <c r="A8" s="51"/>
      <c r="B8" s="28"/>
      <c r="C8" s="28"/>
      <c r="D8" s="30">
        <f>B8*(C8)^0.5</f>
        <v>0</v>
      </c>
      <c r="E8" s="30">
        <f>IF(AND(B8=0,C8=0),0,EXP(12.1656-1.1448*LN(D8)+0.0862*(LN(D8))^2))</f>
        <v>0</v>
      </c>
      <c r="F8" s="28"/>
      <c r="G8" s="28"/>
      <c r="H8" s="26">
        <f ca="1">_xlfn.SHEETS('Summary Page'!$B$19)</f>
        <v>1</v>
      </c>
      <c r="I8" s="30">
        <f ca="1">E8*F8*G8*H8</f>
        <v>0</v>
      </c>
      <c r="J8" s="30">
        <f ca="1">($E$2/567)*I8</f>
        <v>0</v>
      </c>
      <c r="K8" s="32">
        <f ca="1">J8*B2</f>
        <v>0</v>
      </c>
      <c r="L8" s="26">
        <f>IF(D8&lt;&gt;0,IF(AND(D8&gt;=400,D8&lt;=100000),0,1),0)</f>
        <v>0</v>
      </c>
      <c r="M8" s="64" t="str">
        <f>IF(L8&gt;0,"Warning - extrapolation in cost estimate, S must be between 400 and 100,000","")</f>
        <v/>
      </c>
    </row>
    <row r="9" spans="1:13" x14ac:dyDescent="0.25">
      <c r="B9" s="36"/>
      <c r="C9" s="36"/>
      <c r="D9" s="30"/>
      <c r="E9" s="30"/>
      <c r="F9" s="36"/>
      <c r="G9" s="36"/>
      <c r="I9" s="30"/>
      <c r="J9" s="30"/>
      <c r="K9" s="32"/>
    </row>
    <row r="10" spans="1:13" x14ac:dyDescent="0.25">
      <c r="A10" s="51"/>
      <c r="B10" s="28"/>
      <c r="C10" s="28"/>
      <c r="D10" s="30">
        <f>B10*(C10)^0.5</f>
        <v>0</v>
      </c>
      <c r="E10" s="30">
        <f>IF(AND(B10=0,C10=0),0,EXP(12.1656-1.1448*LN(D10)+0.0862*(LN(D10))^2))</f>
        <v>0</v>
      </c>
      <c r="F10" s="28"/>
      <c r="G10" s="28"/>
      <c r="H10" s="26">
        <f ca="1">_xlfn.SHEETS('Summary Page'!$B$19)</f>
        <v>1</v>
      </c>
      <c r="I10" s="30">
        <f ca="1">E10*F10*G10*H10</f>
        <v>0</v>
      </c>
      <c r="J10" s="30">
        <f ca="1">($E$2/567)*I10</f>
        <v>0</v>
      </c>
      <c r="K10" s="32">
        <f ca="1">J10*B2</f>
        <v>0</v>
      </c>
      <c r="L10" s="26">
        <f>IF(D10&lt;&gt;0,IF(AND(D10&gt;=400,D10&lt;=100000),0,1),0)</f>
        <v>0</v>
      </c>
      <c r="M10" s="64" t="str">
        <f>IF(L10&gt;0,"Warning - extrapolation in cost estimate, S must be between 400 and 100,000","")</f>
        <v/>
      </c>
    </row>
    <row r="11" spans="1:13" x14ac:dyDescent="0.25">
      <c r="B11" s="36"/>
      <c r="C11" s="36"/>
      <c r="D11" s="30"/>
      <c r="E11" s="30"/>
      <c r="F11" s="36"/>
      <c r="G11" s="36"/>
      <c r="I11" s="30"/>
      <c r="J11" s="30"/>
      <c r="K11" s="32"/>
    </row>
    <row r="12" spans="1:13" x14ac:dyDescent="0.25">
      <c r="A12" s="51"/>
      <c r="B12" s="28"/>
      <c r="C12" s="28"/>
      <c r="D12" s="30">
        <f>B12*(C12)^0.5</f>
        <v>0</v>
      </c>
      <c r="E12" s="30">
        <f>IF(AND(B12=0,C12=0),0,EXP(12.1656-1.1448*LN(D12)+0.0862*(LN(D12))^2))</f>
        <v>0</v>
      </c>
      <c r="F12" s="28"/>
      <c r="G12" s="28"/>
      <c r="H12" s="26">
        <f ca="1">_xlfn.SHEETS('Summary Page'!$B$19)</f>
        <v>1</v>
      </c>
      <c r="I12" s="30">
        <f ca="1">E12*F12*G12*H12</f>
        <v>0</v>
      </c>
      <c r="J12" s="30">
        <f ca="1">($E$2/567)*I12</f>
        <v>0</v>
      </c>
      <c r="K12" s="32">
        <f ca="1">J12*B2</f>
        <v>0</v>
      </c>
      <c r="L12" s="26">
        <f>IF(D12&lt;&gt;0,IF(AND(D12&gt;=400,D12&lt;=100000),0,1),0)</f>
        <v>0</v>
      </c>
      <c r="M12" s="64" t="str">
        <f>IF(L12&gt;0,"Warning - extrapolation in cost estimate, S must be between 400 and 100,000","")</f>
        <v/>
      </c>
    </row>
    <row r="13" spans="1:13" x14ac:dyDescent="0.25">
      <c r="B13" s="36"/>
      <c r="C13" s="36"/>
      <c r="D13" s="30"/>
      <c r="E13" s="30"/>
      <c r="F13" s="36"/>
      <c r="G13" s="36"/>
      <c r="I13" s="30"/>
      <c r="J13" s="30"/>
      <c r="K13" s="32"/>
    </row>
    <row r="14" spans="1:13" x14ac:dyDescent="0.25">
      <c r="A14" s="51"/>
      <c r="B14" s="28"/>
      <c r="C14" s="28"/>
      <c r="D14" s="30">
        <f>B14*(C14)^0.5</f>
        <v>0</v>
      </c>
      <c r="E14" s="30">
        <f>IF(AND(B14=0,C14=0),0,EXP(12.1656-1.1448*LN(D14)+0.0862*(LN(D14))^2))</f>
        <v>0</v>
      </c>
      <c r="F14" s="28"/>
      <c r="G14" s="28"/>
      <c r="H14" s="26">
        <f ca="1">_xlfn.SHEETS('Summary Page'!$B$19)</f>
        <v>1</v>
      </c>
      <c r="I14" s="30">
        <f ca="1">E14*F14*G14*H14</f>
        <v>0</v>
      </c>
      <c r="J14" s="30">
        <f ca="1">($E$2/567)*I14</f>
        <v>0</v>
      </c>
      <c r="K14" s="32">
        <f ca="1">J14*B2</f>
        <v>0</v>
      </c>
      <c r="L14" s="26">
        <f>IF(D14&lt;&gt;0,IF(AND(D14&gt;=400,D14&lt;=100000),0,1),0)</f>
        <v>0</v>
      </c>
      <c r="M14" s="64" t="str">
        <f>IF(L14&gt;0,"Warning - extrapolation in cost estimate, S must be between 400 and 100,000","")</f>
        <v/>
      </c>
    </row>
    <row r="15" spans="1:13" x14ac:dyDescent="0.25">
      <c r="B15" s="36"/>
      <c r="C15" s="36"/>
      <c r="D15" s="30"/>
      <c r="E15" s="30"/>
      <c r="F15" s="36"/>
      <c r="G15" s="36"/>
      <c r="H15" s="36"/>
      <c r="I15" s="30"/>
      <c r="J15" s="30"/>
      <c r="K15" s="32"/>
    </row>
    <row r="16" spans="1:13" x14ac:dyDescent="0.25">
      <c r="B16" s="36"/>
      <c r="C16" s="36"/>
      <c r="D16" s="30"/>
      <c r="E16" s="30"/>
      <c r="F16" s="36"/>
      <c r="G16" s="36"/>
      <c r="H16" s="36"/>
      <c r="I16" s="30"/>
      <c r="J16" s="30"/>
      <c r="K16" s="32"/>
    </row>
    <row r="17" spans="2:12" x14ac:dyDescent="0.25">
      <c r="B17" s="36"/>
      <c r="C17" s="36"/>
      <c r="D17" s="30"/>
      <c r="E17" s="30"/>
      <c r="F17" s="36"/>
      <c r="G17" s="36"/>
      <c r="H17" s="36"/>
      <c r="I17" s="30"/>
      <c r="J17" s="30"/>
      <c r="K17" s="32"/>
    </row>
    <row r="18" spans="2:12" x14ac:dyDescent="0.25">
      <c r="B18" s="36"/>
      <c r="C18" s="36"/>
      <c r="D18" s="30"/>
      <c r="E18" s="30"/>
      <c r="F18" s="36"/>
      <c r="G18" s="36"/>
      <c r="H18" s="36"/>
      <c r="I18" s="30"/>
      <c r="J18" s="30"/>
      <c r="K18" s="32"/>
    </row>
    <row r="19" spans="2:12" x14ac:dyDescent="0.25">
      <c r="B19" s="36"/>
      <c r="C19" s="36"/>
      <c r="D19" s="30"/>
      <c r="E19" s="30"/>
      <c r="F19" s="36"/>
      <c r="G19" s="36"/>
      <c r="H19" s="36"/>
      <c r="I19" s="30"/>
      <c r="J19" s="30"/>
      <c r="K19" s="32"/>
    </row>
    <row r="20" spans="2:12" x14ac:dyDescent="0.25">
      <c r="B20" s="36"/>
      <c r="C20" s="36"/>
      <c r="D20" s="30"/>
      <c r="E20" s="30"/>
      <c r="F20" s="36"/>
      <c r="G20" s="36"/>
      <c r="H20" s="36"/>
      <c r="I20" s="30"/>
      <c r="J20" s="30"/>
      <c r="K20" s="32"/>
    </row>
    <row r="21" spans="2:12" x14ac:dyDescent="0.25">
      <c r="B21" s="36"/>
      <c r="C21" s="36"/>
      <c r="D21" s="30"/>
      <c r="E21" s="30"/>
      <c r="F21" s="36"/>
      <c r="G21" s="36"/>
      <c r="H21" s="36"/>
      <c r="I21" s="30"/>
      <c r="J21" s="30"/>
      <c r="K21" s="32"/>
    </row>
    <row r="22" spans="2:12" x14ac:dyDescent="0.25">
      <c r="B22" s="36"/>
      <c r="C22" s="36"/>
      <c r="D22" s="30"/>
      <c r="E22" s="30"/>
      <c r="F22" s="36"/>
      <c r="G22" s="36"/>
      <c r="H22" s="36"/>
      <c r="I22" s="30"/>
      <c r="J22" s="30"/>
      <c r="K22" s="32"/>
    </row>
    <row r="24" spans="2:12" x14ac:dyDescent="0.25">
      <c r="B24" s="35"/>
      <c r="C24" s="35"/>
      <c r="D24" s="35"/>
      <c r="E24" s="35"/>
      <c r="F24" s="35"/>
      <c r="G24" s="35"/>
      <c r="H24" s="35"/>
      <c r="I24" s="35"/>
      <c r="J24" s="35"/>
      <c r="K24" s="35"/>
    </row>
    <row r="25" spans="2:12" x14ac:dyDescent="0.25">
      <c r="B25" s="27"/>
      <c r="C25" s="27"/>
      <c r="D25" s="27"/>
      <c r="E25" s="27"/>
      <c r="F25" s="27"/>
      <c r="G25" s="27"/>
      <c r="H25" s="27"/>
      <c r="I25" s="27"/>
      <c r="J25" s="27"/>
      <c r="K25" s="27"/>
    </row>
    <row r="28" spans="2:12" x14ac:dyDescent="0.25">
      <c r="B28" s="35"/>
      <c r="C28" s="35"/>
      <c r="D28" s="35"/>
      <c r="E28" s="35"/>
      <c r="F28" s="35"/>
      <c r="G28" s="35"/>
      <c r="H28" s="35"/>
      <c r="I28" s="35"/>
      <c r="J28" s="35"/>
      <c r="K28" s="35"/>
    </row>
    <row r="29" spans="2:12" x14ac:dyDescent="0.25">
      <c r="B29" s="27"/>
      <c r="C29" s="27"/>
      <c r="D29" s="27"/>
      <c r="E29" s="27"/>
      <c r="F29" s="27"/>
      <c r="G29" s="27"/>
      <c r="H29" s="27"/>
      <c r="I29" s="27"/>
      <c r="J29" s="27"/>
      <c r="K29" s="27"/>
    </row>
    <row r="31" spans="2:12" x14ac:dyDescent="0.25">
      <c r="L31" s="37"/>
    </row>
    <row r="32" spans="2:12" x14ac:dyDescent="0.25">
      <c r="B32" s="35"/>
      <c r="C32" s="35"/>
      <c r="D32" s="35"/>
      <c r="E32" s="35"/>
      <c r="F32" s="35"/>
      <c r="G32" s="35"/>
      <c r="H32" s="35"/>
      <c r="I32" s="35"/>
      <c r="J32" s="35"/>
      <c r="K32" s="35"/>
    </row>
    <row r="33" spans="2:11" x14ac:dyDescent="0.25">
      <c r="B33" s="27"/>
      <c r="C33" s="27"/>
      <c r="D33" s="27"/>
      <c r="E33" s="27"/>
      <c r="F33" s="27"/>
      <c r="G33" s="27"/>
      <c r="H33" s="27"/>
      <c r="I33" s="27"/>
      <c r="J33" s="27"/>
      <c r="K33" s="27"/>
    </row>
    <row r="36" spans="2:11" x14ac:dyDescent="0.25">
      <c r="B36" s="35"/>
      <c r="C36" s="35"/>
      <c r="D36" s="35"/>
      <c r="E36" s="35"/>
      <c r="F36" s="35"/>
      <c r="G36" s="35"/>
      <c r="H36" s="35"/>
      <c r="I36" s="35"/>
      <c r="J36" s="35"/>
      <c r="K36" s="35"/>
    </row>
    <row r="37" spans="2:11" x14ac:dyDescent="0.25">
      <c r="B37" s="27"/>
      <c r="C37" s="27"/>
      <c r="D37" s="27"/>
      <c r="E37" s="27"/>
      <c r="F37" s="27"/>
      <c r="G37" s="27"/>
      <c r="H37" s="27"/>
      <c r="I37" s="27"/>
      <c r="J37" s="27"/>
      <c r="K37" s="27"/>
    </row>
  </sheetData>
  <sheetProtection algorithmName="SHA-512" hashValue="7OhQSlDm3izpXW0Nd+8wY4j8FW505kSqSvbfBpQPMffQXwhZcQoDYiUridrJD4jZppYxc0zxwNMaYSR14Zz8bw==" saltValue="Tox9IB7Pew6Xf7sNalmV1Q==" spinCount="100000" sheet="1" objects="1" scenarios="1"/>
  <phoneticPr fontId="4" type="noConversion"/>
  <hyperlinks>
    <hyperlink ref="J1" location="'Summary Page'!A1" display="Summary page" xr:uid="{00000000-0004-0000-0200-000000000000}"/>
  </hyperlinks>
  <pageMargins left="0.75" right="0.75" top="1" bottom="1" header="0.5" footer="0.5"/>
  <pageSetup orientation="portrait" horizontalDpi="4294967292" verticalDpi="4294967292" r:id="rId1"/>
  <headerFooter>
    <oddHeader>&amp;C&amp;"Calibri"&amp;10&amp;K000000 Public&amp;1#_x000D_</oddHeader>
    <oddFooter>&amp;C_x000D_&amp;1#&amp;"Calibri"&amp;10&amp;K000000 Public</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N34"/>
  <sheetViews>
    <sheetView workbookViewId="0">
      <selection activeCell="C16" sqref="C16"/>
    </sheetView>
  </sheetViews>
  <sheetFormatPr defaultColWidth="11" defaultRowHeight="15.75" x14ac:dyDescent="0.25"/>
  <cols>
    <col min="1" max="1" width="12" style="26" bestFit="1" customWidth="1"/>
    <col min="2" max="2" width="28.5" style="26" bestFit="1" customWidth="1"/>
    <col min="3" max="3" width="6.125" style="26" bestFit="1" customWidth="1"/>
    <col min="4" max="4" width="12.875" style="26" bestFit="1" customWidth="1"/>
    <col min="5" max="6" width="9.375" style="26" bestFit="1" customWidth="1"/>
    <col min="7" max="7" width="9.375" style="26" hidden="1" customWidth="1"/>
    <col min="8" max="8" width="11.875" style="26" bestFit="1" customWidth="1"/>
    <col min="9" max="9" width="12.125" style="26" bestFit="1" customWidth="1"/>
    <col min="10" max="10" width="11.875" style="26" bestFit="1" customWidth="1"/>
    <col min="11" max="11" width="0.125" style="26" customWidth="1"/>
    <col min="12" max="16384" width="11" style="26"/>
  </cols>
  <sheetData>
    <row r="1" spans="1:12" x14ac:dyDescent="0.25">
      <c r="A1" s="33" t="s">
        <v>63</v>
      </c>
      <c r="B1" s="39"/>
      <c r="C1" s="39"/>
      <c r="D1" s="39"/>
      <c r="E1" s="39"/>
      <c r="F1" s="39"/>
      <c r="G1" s="39"/>
      <c r="H1" s="39"/>
      <c r="I1" s="39"/>
      <c r="J1" s="34" t="s">
        <v>158</v>
      </c>
    </row>
    <row r="2" spans="1:12" x14ac:dyDescent="0.25">
      <c r="A2" s="39" t="s">
        <v>138</v>
      </c>
      <c r="B2" s="39">
        <v>2.15</v>
      </c>
      <c r="C2" s="39"/>
      <c r="D2" s="39" t="s">
        <v>137</v>
      </c>
      <c r="E2" s="39">
        <f>'Summary Page'!B19</f>
        <v>800</v>
      </c>
      <c r="F2" s="39"/>
      <c r="G2" s="39"/>
      <c r="H2" s="39"/>
      <c r="I2" s="39"/>
      <c r="J2" s="39"/>
    </row>
    <row r="3" spans="1:12" x14ac:dyDescent="0.25">
      <c r="A3" s="39"/>
      <c r="B3" s="39"/>
      <c r="C3" s="39"/>
      <c r="D3" s="39"/>
      <c r="E3" s="39"/>
      <c r="F3" s="39"/>
      <c r="G3" s="39"/>
      <c r="H3" s="39"/>
      <c r="I3" s="39"/>
      <c r="J3" s="39"/>
    </row>
    <row r="4" spans="1:12" x14ac:dyDescent="0.25">
      <c r="A4" s="41"/>
      <c r="B4" s="41"/>
      <c r="C4" s="41"/>
      <c r="D4" s="41"/>
      <c r="E4" s="41"/>
      <c r="F4" s="41"/>
      <c r="G4" s="41"/>
      <c r="H4" s="41"/>
      <c r="I4" s="41"/>
      <c r="J4" s="41"/>
    </row>
    <row r="5" spans="1:12" x14ac:dyDescent="0.25">
      <c r="A5" s="39" t="s">
        <v>190</v>
      </c>
      <c r="B5" s="41" t="s">
        <v>62</v>
      </c>
      <c r="C5" s="36" t="s">
        <v>46</v>
      </c>
      <c r="D5" s="41" t="s">
        <v>61</v>
      </c>
      <c r="E5" s="41" t="s">
        <v>60</v>
      </c>
      <c r="F5" s="39" t="s">
        <v>10</v>
      </c>
      <c r="G5" s="39"/>
      <c r="H5" s="41" t="s">
        <v>59</v>
      </c>
      <c r="I5" s="39" t="s">
        <v>59</v>
      </c>
      <c r="J5" s="41" t="s">
        <v>14</v>
      </c>
      <c r="K5" s="66" t="s">
        <v>213</v>
      </c>
    </row>
    <row r="6" spans="1:12" x14ac:dyDescent="0.25">
      <c r="A6" s="39"/>
      <c r="B6" s="27" t="s">
        <v>58</v>
      </c>
      <c r="C6" s="44" t="s">
        <v>39</v>
      </c>
      <c r="D6" s="27" t="s">
        <v>136</v>
      </c>
      <c r="E6" s="27" t="s">
        <v>29</v>
      </c>
      <c r="F6" s="27" t="s">
        <v>29</v>
      </c>
      <c r="G6" s="27"/>
      <c r="H6" s="39" t="s">
        <v>135</v>
      </c>
      <c r="I6" s="27" t="s">
        <v>13</v>
      </c>
      <c r="J6" s="27" t="s">
        <v>13</v>
      </c>
    </row>
    <row r="7" spans="1:12" x14ac:dyDescent="0.25">
      <c r="A7" s="61" t="s">
        <v>264</v>
      </c>
      <c r="B7" s="45" t="s">
        <v>253</v>
      </c>
      <c r="C7" s="45">
        <v>38555</v>
      </c>
      <c r="D7" s="46">
        <f>IF(B7="Centrifugal Compressor",EXP(9.1553+0.63*LN(C7)),IF(B7="Reciprocating Compressor",EXP(4.6762+1.23*LN(C7)),IF(B7="Screw Compressor",EXP(8.2496+0.7243*LN(C7)),0)))</f>
        <v>7333767.1339044571</v>
      </c>
      <c r="E7" s="45">
        <v>1.25</v>
      </c>
      <c r="F7" s="45">
        <v>1</v>
      </c>
      <c r="G7" s="39">
        <f ca="1">_xlfn.SHEETS('Summary Page'!$B$19)</f>
        <v>1</v>
      </c>
      <c r="H7" s="46">
        <f ca="1">E7*F7*D7*G7</f>
        <v>9167208.9173805714</v>
      </c>
      <c r="I7" s="46">
        <f ca="1">($E$2/567)*H7</f>
        <v>12934333.569496397</v>
      </c>
      <c r="J7" s="32">
        <f ca="1">I7*$B$2</f>
        <v>27808817.174417254</v>
      </c>
      <c r="K7" s="67">
        <f>IF(C7&lt;&gt;0,IF(B7="Centrifugal Compressor",IF(AND(C7&gt;=200,C7&lt;=30000),0,1),IF(B7="Reciprocating Compressor",IF(AND(C7&gt;=100,C7&lt;=20000),0,1),IF(B7="Screw Compressor",IF(AND(C7&gt;=10,C7&lt;=750),0,1),0))),0)</f>
        <v>1</v>
      </c>
      <c r="L7" s="64" t="str" cm="1">
        <f t="array" ref="L7">IF(K7&gt;0,"Warning - extrapolation in cost estimate, Pc must be between "&amp;IF(B7="Centrifugal Compressor","200 and 30000",IF(B7="Reciprocating Compressor","100 and 20000",IF(B7="Screw Compressor","10 and 750",na)))&amp;" for this type of compressor","")</f>
        <v>Warning - extrapolation in cost estimate, Pc must be between 200 and 30000 for this type of compressor</v>
      </c>
    </row>
    <row r="8" spans="1:12" x14ac:dyDescent="0.25">
      <c r="A8" s="38"/>
      <c r="B8" s="41"/>
      <c r="C8" s="41"/>
      <c r="D8" s="46"/>
      <c r="E8" s="41"/>
      <c r="F8" s="41"/>
      <c r="G8" s="41"/>
      <c r="H8" s="46"/>
      <c r="I8" s="46"/>
      <c r="J8" s="32"/>
    </row>
    <row r="9" spans="1:12" x14ac:dyDescent="0.25">
      <c r="A9" s="61"/>
      <c r="B9" s="45"/>
      <c r="C9" s="45"/>
      <c r="D9" s="46">
        <f>IF(B9="Centrifugal Compressor",EXP(9.1553+0.63*LN(C9)),IF(B9="Reciprocating Compressor",EXP(4.6762+1.23*LN(C9)),IF(B9="Screw Compressor",EXP(8.2496+0.7243*LN(C9)),0)))</f>
        <v>0</v>
      </c>
      <c r="E9" s="45"/>
      <c r="F9" s="45"/>
      <c r="G9" s="39">
        <f ca="1">_xlfn.SHEETS('Summary Page'!$B$19)</f>
        <v>1</v>
      </c>
      <c r="H9" s="46">
        <f ca="1">E9*F9*D9*G9</f>
        <v>0</v>
      </c>
      <c r="I9" s="46">
        <f ca="1">($E$2/567)*H9</f>
        <v>0</v>
      </c>
      <c r="J9" s="32">
        <f ca="1">I9*$B$2</f>
        <v>0</v>
      </c>
      <c r="K9" s="67">
        <f>IF(C9&lt;&gt;0,IF(B9="Centrifugal Compressor",IF(AND(C9&gt;=200,C9&lt;=30000),0,1),IF(B9="Reciprocating Compressor",IF(AND(C9&gt;=100,C9&lt;=20000),0,1),IF(B9="Screw Compressor",IF(AND(C9&gt;=10,C9&lt;=750),0,1),0))),0)</f>
        <v>0</v>
      </c>
      <c r="L9" s="64" t="str" cm="1">
        <f t="array" ref="L9">IF(K9&gt;0,"Warning - extrapolation in cost estimate, Pc must be between "&amp;IF(B9="Centrifugal Compressor","200 and 30000",IF(B9="Reciprocating Compressor","100 and 20000",IF(B9="Screw Compressor","10 and 750",na)))&amp;" for this type of compressor","")</f>
        <v/>
      </c>
    </row>
    <row r="10" spans="1:12" x14ac:dyDescent="0.25">
      <c r="A10" s="38"/>
      <c r="B10" s="41"/>
      <c r="C10" s="41"/>
      <c r="D10" s="46"/>
      <c r="E10" s="41"/>
      <c r="F10" s="41"/>
      <c r="G10" s="41"/>
      <c r="H10" s="46"/>
      <c r="I10" s="46"/>
      <c r="J10" s="32"/>
    </row>
    <row r="11" spans="1:12" x14ac:dyDescent="0.25">
      <c r="A11" s="61"/>
      <c r="B11" s="45"/>
      <c r="C11" s="45"/>
      <c r="D11" s="46">
        <f>IF(B11="Centrifugal Compressor",EXP(9.1553+0.63*LN(C11)),IF(B11="Reciprocating Compressor",EXP(4.6762+1.23*LN(C11)),IF(B11="Screw Compressor",EXP(8.2496+0.7243*LN(C11)),0)))</f>
        <v>0</v>
      </c>
      <c r="E11" s="45">
        <v>1.25</v>
      </c>
      <c r="F11" s="45">
        <v>1</v>
      </c>
      <c r="G11" s="39">
        <f ca="1">_xlfn.SHEETS('Summary Page'!$B$19)</f>
        <v>1</v>
      </c>
      <c r="H11" s="46">
        <f ca="1">E11*F11*D11*G11</f>
        <v>0</v>
      </c>
      <c r="I11" s="46">
        <f ca="1">($E$2/567)*H11</f>
        <v>0</v>
      </c>
      <c r="J11" s="32">
        <f ca="1">I11*$B$2</f>
        <v>0</v>
      </c>
      <c r="K11" s="67">
        <f>IF(C11&lt;&gt;0,IF(B11="Centrifugal Compressor",IF(AND(C11&gt;=200,C11&lt;=30000),0,1),IF(B11="Reciprocating Compressor",IF(AND(C11&gt;=100,C11&lt;=20000),0,1),IF(B11="Screw Compressor",IF(AND(C11&gt;=10,C11&lt;=750),0,1),0))),0)</f>
        <v>0</v>
      </c>
      <c r="L11" s="64" t="str" cm="1">
        <f t="array" ref="L11">IF(K11&gt;0,"Warning - extrapolation in cost estimate, Pc must be between "&amp;IF(B11="Centrifugal Compressor","200 and 30000",IF(B11="Reciprocating Compressor","100 and 20000",IF(B11="Screw Compressor","10 and 750",na)))&amp;" for this type of compressor","")</f>
        <v/>
      </c>
    </row>
    <row r="12" spans="1:12" x14ac:dyDescent="0.25">
      <c r="A12" s="38"/>
      <c r="B12" s="41"/>
      <c r="C12" s="41"/>
      <c r="D12" s="46"/>
      <c r="E12" s="41"/>
      <c r="F12" s="41"/>
      <c r="G12" s="41"/>
      <c r="H12" s="46"/>
      <c r="I12" s="46"/>
      <c r="J12" s="32"/>
    </row>
    <row r="13" spans="1:12" x14ac:dyDescent="0.25">
      <c r="A13" s="61"/>
      <c r="B13" s="45"/>
      <c r="C13" s="45"/>
      <c r="D13" s="46">
        <f>IF(B13="Centrifugal Compressor",EXP(9.1553+0.63*LN(C13)),IF(B13="Reciprocating Compressor",EXP(4.6762+1.23*LN(C13)),IF(B13="Screw Compressor",EXP(8.2496+0.7243*LN(C13)),0)))</f>
        <v>0</v>
      </c>
      <c r="E13" s="45">
        <v>1.25</v>
      </c>
      <c r="F13" s="45">
        <v>1</v>
      </c>
      <c r="G13" s="39">
        <f ca="1">_xlfn.SHEETS('Summary Page'!$B$19)</f>
        <v>1</v>
      </c>
      <c r="H13" s="46">
        <f ca="1">E13*F13*D13*G13</f>
        <v>0</v>
      </c>
      <c r="I13" s="46">
        <f ca="1">($E$2/567)*H13</f>
        <v>0</v>
      </c>
      <c r="J13" s="32">
        <f ca="1">I13*$B$2</f>
        <v>0</v>
      </c>
      <c r="K13" s="67">
        <f>IF(C13&lt;&gt;0,IF(B13="Centrifugal Compressor",IF(AND(C13&gt;=200,C13&lt;=30000),0,1),IF(B13="Reciprocating Compressor",IF(AND(C13&gt;=100,C13&lt;=20000),0,1),IF(B13="Screw Compressor",IF(AND(C13&gt;=10,C13&lt;=750),0,1),0))),0)</f>
        <v>0</v>
      </c>
      <c r="L13" s="64" t="str" cm="1">
        <f t="array" ref="L13">IF(K13&gt;0,"Warning - extrapolation in cost estimate, Pc must be between "&amp;IF(B13="Centrifugal Compressor","200 and 30000",IF(B13="Reciprocating Compressor","100 and 20000",IF(B13="Screw Compressor","10 and 750",na)))&amp;" for this type of compressor","")</f>
        <v/>
      </c>
    </row>
    <row r="14" spans="1:12" x14ac:dyDescent="0.25">
      <c r="A14" s="38"/>
      <c r="B14" s="41"/>
      <c r="C14" s="41"/>
      <c r="D14" s="46"/>
      <c r="E14" s="41"/>
      <c r="F14" s="41"/>
      <c r="G14" s="41"/>
      <c r="H14" s="46"/>
      <c r="I14" s="46"/>
      <c r="J14" s="32"/>
    </row>
    <row r="15" spans="1:12" x14ac:dyDescent="0.25">
      <c r="A15" s="61"/>
      <c r="B15" s="45"/>
      <c r="C15" s="45"/>
      <c r="D15" s="46">
        <f>IF(B15="Centrifugal Compressor",EXP(9.1553+0.63*LN(C15)),IF(B15="Reciprocating Compressor",EXP(4.6762+1.23*LN(C15)),IF(B15="Screw Compressor",EXP(8.2496+0.7243*LN(C15)),0)))</f>
        <v>0</v>
      </c>
      <c r="E15" s="45">
        <v>1.25</v>
      </c>
      <c r="F15" s="45">
        <v>1</v>
      </c>
      <c r="G15" s="39">
        <f ca="1">_xlfn.SHEETS('Summary Page'!$B$19)</f>
        <v>1</v>
      </c>
      <c r="H15" s="46">
        <f ca="1">E15*F15*D15*G15</f>
        <v>0</v>
      </c>
      <c r="I15" s="46">
        <f ca="1">($E$2/567)*H15</f>
        <v>0</v>
      </c>
      <c r="J15" s="32">
        <f ca="1">I15*$B$2</f>
        <v>0</v>
      </c>
      <c r="K15" s="67">
        <f>IF(C15&lt;&gt;0,IF(B15="Centrifugal Compressor",IF(AND(C15&gt;=200,C15&lt;=30000),0,1),IF(B15="Reciprocating Compressor",IF(AND(C15&gt;=100,C15&lt;=20000),0,1),IF(B15="Screw Compressor",IF(AND(C15&gt;=10,C15&lt;=750),0,1),0))),0)</f>
        <v>0</v>
      </c>
      <c r="L15" s="64" t="str" cm="1">
        <f t="array" ref="L15">IF(K15&gt;0,"Warning - extrapolation in cost estimate, Pc must be between "&amp;IF(B15="Centrifugal Compressor","200 and 30000",IF(B15="Reciprocating Compressor","100 and 20000",IF(B15="Screw Compressor","10 and 750",na)))&amp;" for this type of compressor","")</f>
        <v/>
      </c>
    </row>
    <row r="16" spans="1:12" x14ac:dyDescent="0.25">
      <c r="A16" s="39"/>
      <c r="B16" s="39"/>
      <c r="C16" s="41"/>
      <c r="D16" s="39"/>
      <c r="E16" s="41"/>
      <c r="F16" s="39"/>
      <c r="G16" s="39"/>
      <c r="H16" s="39"/>
      <c r="I16" s="39"/>
      <c r="J16" s="41"/>
    </row>
    <row r="17" spans="1:14" x14ac:dyDescent="0.25">
      <c r="C17" s="41"/>
      <c r="D17" s="53" t="s">
        <v>57</v>
      </c>
      <c r="E17" s="41"/>
      <c r="F17" s="39"/>
      <c r="G17" s="39"/>
      <c r="H17" s="53" t="s">
        <v>56</v>
      </c>
      <c r="I17" s="41"/>
      <c r="J17" s="41"/>
    </row>
    <row r="18" spans="1:14" x14ac:dyDescent="0.25">
      <c r="C18" s="41"/>
      <c r="D18" s="41" t="s">
        <v>55</v>
      </c>
      <c r="E18" s="41">
        <v>1</v>
      </c>
      <c r="F18" s="39"/>
      <c r="G18" s="39"/>
      <c r="H18" s="41" t="s">
        <v>54</v>
      </c>
      <c r="I18" s="41">
        <v>1</v>
      </c>
      <c r="J18" s="41"/>
    </row>
    <row r="19" spans="1:14" x14ac:dyDescent="0.25">
      <c r="C19" s="41"/>
      <c r="D19" s="41" t="s">
        <v>53</v>
      </c>
      <c r="E19" s="41">
        <v>1.1499999999999999</v>
      </c>
      <c r="F19" s="39"/>
      <c r="G19" s="39"/>
      <c r="H19" s="41" t="s">
        <v>52</v>
      </c>
      <c r="I19" s="41">
        <v>1</v>
      </c>
      <c r="J19" s="41"/>
    </row>
    <row r="20" spans="1:14" x14ac:dyDescent="0.25">
      <c r="C20" s="41"/>
      <c r="D20" s="41" t="s">
        <v>51</v>
      </c>
      <c r="E20" s="41">
        <v>1.25</v>
      </c>
      <c r="F20" s="41"/>
      <c r="G20" s="41"/>
      <c r="H20" s="41" t="s">
        <v>43</v>
      </c>
      <c r="I20" s="41">
        <v>2.5</v>
      </c>
      <c r="J20" s="41"/>
    </row>
    <row r="21" spans="1:14" x14ac:dyDescent="0.25">
      <c r="A21" s="39"/>
      <c r="B21" s="39"/>
      <c r="C21" s="41"/>
      <c r="F21" s="41"/>
      <c r="G21" s="41"/>
      <c r="H21" s="41" t="s">
        <v>44</v>
      </c>
      <c r="I21" s="41">
        <v>5</v>
      </c>
      <c r="J21" s="41"/>
    </row>
    <row r="22" spans="1:14" x14ac:dyDescent="0.25">
      <c r="A22" s="41"/>
      <c r="B22" s="41"/>
      <c r="C22" s="41"/>
      <c r="D22" s="41"/>
      <c r="E22" s="41"/>
      <c r="F22" s="41"/>
      <c r="G22" s="41"/>
      <c r="H22" s="36"/>
      <c r="I22" s="41"/>
      <c r="J22" s="41"/>
      <c r="L22" s="36"/>
      <c r="M22" s="41"/>
      <c r="N22" s="41"/>
    </row>
    <row r="23" spans="1:14" x14ac:dyDescent="0.25">
      <c r="F23" s="41"/>
      <c r="G23" s="41"/>
    </row>
    <row r="24" spans="1:14" x14ac:dyDescent="0.25">
      <c r="F24" s="41"/>
      <c r="G24" s="41"/>
    </row>
    <row r="25" spans="1:14" x14ac:dyDescent="0.25">
      <c r="F25" s="41"/>
      <c r="G25" s="41"/>
    </row>
    <row r="26" spans="1:14" x14ac:dyDescent="0.25">
      <c r="F26" s="41"/>
      <c r="G26" s="41"/>
    </row>
    <row r="27" spans="1:14" x14ac:dyDescent="0.25">
      <c r="F27" s="41"/>
      <c r="G27" s="41"/>
      <c r="J27" s="37"/>
      <c r="N27" s="37"/>
    </row>
    <row r="28" spans="1:14" x14ac:dyDescent="0.25">
      <c r="A28" s="41"/>
      <c r="B28" s="41"/>
      <c r="C28" s="41"/>
      <c r="D28" s="41"/>
      <c r="E28" s="41"/>
      <c r="F28" s="41"/>
      <c r="G28" s="41"/>
      <c r="H28" s="41"/>
      <c r="I28" s="41"/>
      <c r="J28" s="41"/>
    </row>
    <row r="29" spans="1:14" x14ac:dyDescent="0.25">
      <c r="H29" s="36"/>
      <c r="I29" s="41"/>
      <c r="J29" s="41"/>
    </row>
    <row r="34" spans="10:10" x14ac:dyDescent="0.25">
      <c r="J34" s="37"/>
    </row>
  </sheetData>
  <sheetProtection algorithmName="SHA-512" hashValue="KQfUimJwUchKaqx6ZsjkpTA1LjYEiQlDF+BR79XuuxHLODlKyYizaKC6cDvHj1c5u13TTTv6CndVg/alaolPUQ==" saltValue="tkEUlF+dWJJKjmVbVZ4FXw==" spinCount="100000" sheet="1" objects="1" scenarios="1"/>
  <phoneticPr fontId="4" type="noConversion"/>
  <dataValidations count="1">
    <dataValidation type="list" allowBlank="1" showInputMessage="1" showErrorMessage="1" sqref="B7 B9 B11 B13 B15" xr:uid="{00000000-0002-0000-0800-000000000000}">
      <formula1>"Centrifugal Compressor, Reciprocating Compressor, Screw Compressor"</formula1>
    </dataValidation>
  </dataValidations>
  <hyperlinks>
    <hyperlink ref="J1" location="'Summary Page'!A1" display="Summary page" xr:uid="{00000000-0004-0000-0800-000000000000}"/>
  </hyperlinks>
  <pageMargins left="0.75" right="0.75" top="1" bottom="1" header="0.5" footer="0.5"/>
  <pageSetup orientation="portrait" horizontalDpi="4294967292" verticalDpi="4294967292" r:id="rId1"/>
  <headerFooter>
    <oddHeader>&amp;C&amp;"Calibri"&amp;10&amp;K000000 Public&amp;1#_x000D_</oddHeader>
    <oddFooter>&amp;C_x000D_&amp;1#&amp;"Calibri"&amp;10&amp;K000000 Public</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A33"/>
  <sheetViews>
    <sheetView tabSelected="1" zoomScale="89" zoomScaleNormal="100" workbookViewId="0">
      <pane xSplit="1" topLeftCell="B1" activePane="topRight" state="frozen"/>
      <selection pane="topRight"/>
    </sheetView>
  </sheetViews>
  <sheetFormatPr defaultColWidth="11" defaultRowHeight="15.75" x14ac:dyDescent="0.25"/>
  <cols>
    <col min="1" max="1" width="33.125" style="26" bestFit="1" customWidth="1"/>
    <col min="2" max="2" width="12.875" style="26" bestFit="1" customWidth="1"/>
    <col min="3" max="16" width="12.625" style="26" customWidth="1"/>
    <col min="17" max="17" width="7.375" style="26" bestFit="1" customWidth="1"/>
    <col min="18" max="18" width="12.125" style="26" bestFit="1" customWidth="1"/>
    <col min="19" max="20" width="9.375" style="26" bestFit="1" customWidth="1"/>
    <col min="21" max="21" width="10" style="26" bestFit="1" customWidth="1"/>
    <col min="22" max="22" width="10" style="26" hidden="1" customWidth="1"/>
    <col min="23" max="23" width="8.875" style="26" bestFit="1" customWidth="1"/>
    <col min="24" max="25" width="11" style="26"/>
    <col min="26" max="26" width="0.125" style="26" customWidth="1"/>
    <col min="27" max="39" width="11" style="26"/>
    <col min="40" max="40" width="33.125" style="26" bestFit="1" customWidth="1"/>
    <col min="41" max="41" width="12.875" style="26" bestFit="1" customWidth="1"/>
    <col min="42" max="42" width="20.125" style="26" bestFit="1" customWidth="1"/>
    <col min="43" max="43" width="13.125" style="26" bestFit="1" customWidth="1"/>
    <col min="44" max="44" width="19.875" style="26" bestFit="1" customWidth="1"/>
    <col min="45" max="45" width="12.125" style="26" bestFit="1" customWidth="1"/>
    <col min="46" max="46" width="13.875" style="26" bestFit="1" customWidth="1"/>
    <col min="47" max="48" width="15.125" style="26" bestFit="1" customWidth="1"/>
    <col min="49" max="49" width="7.375" style="26" bestFit="1" customWidth="1"/>
    <col min="50" max="50" width="12.125" style="26" bestFit="1" customWidth="1"/>
    <col min="51" max="52" width="9.375" style="26" bestFit="1" customWidth="1"/>
    <col min="53" max="53" width="10" style="26" bestFit="1" customWidth="1"/>
    <col min="54" max="54" width="8.875" style="26" bestFit="1" customWidth="1"/>
    <col min="55" max="16384" width="11" style="26"/>
  </cols>
  <sheetData>
    <row r="1" spans="1:27" x14ac:dyDescent="0.25">
      <c r="A1" s="48" t="s">
        <v>187</v>
      </c>
      <c r="E1" s="36"/>
      <c r="F1" s="36"/>
      <c r="I1" s="34" t="s">
        <v>158</v>
      </c>
      <c r="J1" s="34"/>
      <c r="K1" s="34"/>
      <c r="L1" s="34"/>
      <c r="M1" s="34"/>
      <c r="N1" s="34"/>
      <c r="O1" s="34"/>
      <c r="P1" s="34"/>
    </row>
    <row r="2" spans="1:27" x14ac:dyDescent="0.25">
      <c r="A2" s="26" t="s">
        <v>138</v>
      </c>
      <c r="B2" s="26">
        <v>4.16</v>
      </c>
      <c r="D2" s="26" t="s">
        <v>137</v>
      </c>
      <c r="E2" s="26">
        <f>'Summary Page'!B19</f>
        <v>800</v>
      </c>
      <c r="F2" s="36"/>
    </row>
    <row r="3" spans="1:27" x14ac:dyDescent="0.25">
      <c r="E3" s="36"/>
      <c r="F3" s="36"/>
    </row>
    <row r="4" spans="1:27" x14ac:dyDescent="0.25">
      <c r="A4" s="26" t="s">
        <v>190</v>
      </c>
      <c r="B4" s="26" t="s">
        <v>78</v>
      </c>
      <c r="C4" s="26" t="s">
        <v>79</v>
      </c>
      <c r="D4" s="26" t="s">
        <v>80</v>
      </c>
      <c r="E4" s="26" t="s">
        <v>72</v>
      </c>
      <c r="F4" s="26" t="s">
        <v>81</v>
      </c>
      <c r="G4" s="26" t="s">
        <v>82</v>
      </c>
      <c r="H4" s="36" t="s">
        <v>5</v>
      </c>
      <c r="I4" s="36" t="s">
        <v>83</v>
      </c>
      <c r="J4" s="58" t="s">
        <v>188</v>
      </c>
      <c r="K4" s="36" t="s">
        <v>147</v>
      </c>
      <c r="L4" s="36" t="s">
        <v>148</v>
      </c>
      <c r="M4" s="36" t="s">
        <v>151</v>
      </c>
      <c r="N4" s="36" t="s">
        <v>150</v>
      </c>
      <c r="O4" s="36" t="s">
        <v>152</v>
      </c>
      <c r="P4" s="36" t="s">
        <v>152</v>
      </c>
      <c r="Q4" s="26" t="s">
        <v>244</v>
      </c>
      <c r="R4" s="26" t="s">
        <v>84</v>
      </c>
      <c r="S4" s="26" t="s">
        <v>85</v>
      </c>
      <c r="T4" s="26" t="s">
        <v>86</v>
      </c>
      <c r="U4" s="26" t="s">
        <v>64</v>
      </c>
      <c r="W4" s="26" t="s">
        <v>59</v>
      </c>
      <c r="X4" s="26" t="s">
        <v>11</v>
      </c>
      <c r="Y4" s="26" t="s">
        <v>92</v>
      </c>
      <c r="Z4" s="66" t="s">
        <v>213</v>
      </c>
    </row>
    <row r="5" spans="1:27" x14ac:dyDescent="0.25">
      <c r="A5" s="40"/>
      <c r="B5" s="40"/>
      <c r="C5" s="40" t="s">
        <v>87</v>
      </c>
      <c r="D5" s="40" t="s">
        <v>87</v>
      </c>
      <c r="E5" s="40" t="s">
        <v>30</v>
      </c>
      <c r="F5" s="40" t="s">
        <v>30</v>
      </c>
      <c r="G5" s="40" t="s">
        <v>228</v>
      </c>
      <c r="H5" s="40" t="s">
        <v>94</v>
      </c>
      <c r="I5" s="40" t="s">
        <v>87</v>
      </c>
      <c r="J5" s="40" t="s">
        <v>149</v>
      </c>
      <c r="K5" s="40" t="s">
        <v>87</v>
      </c>
      <c r="L5" s="40" t="s">
        <v>87</v>
      </c>
      <c r="M5" s="40" t="s">
        <v>146</v>
      </c>
      <c r="N5" s="40" t="s">
        <v>146</v>
      </c>
      <c r="O5" s="40" t="s">
        <v>146</v>
      </c>
      <c r="P5" s="40" t="s">
        <v>87</v>
      </c>
      <c r="Q5" s="40" t="s">
        <v>88</v>
      </c>
      <c r="R5" s="40" t="s">
        <v>89</v>
      </c>
      <c r="S5" s="40" t="s">
        <v>135</v>
      </c>
      <c r="T5" s="40" t="s">
        <v>135</v>
      </c>
      <c r="U5" s="40" t="s">
        <v>245</v>
      </c>
      <c r="V5" s="40"/>
      <c r="W5" s="40" t="s">
        <v>136</v>
      </c>
      <c r="X5" s="40" t="s">
        <v>13</v>
      </c>
      <c r="Y5" s="40" t="s">
        <v>13</v>
      </c>
    </row>
    <row r="6" spans="1:27" x14ac:dyDescent="0.25">
      <c r="A6" s="69" t="s">
        <v>259</v>
      </c>
      <c r="B6" s="28" t="s">
        <v>262</v>
      </c>
      <c r="C6" s="28">
        <v>12</v>
      </c>
      <c r="D6" s="28">
        <v>6</v>
      </c>
      <c r="E6" s="28">
        <v>53.62</v>
      </c>
      <c r="F6" s="30">
        <f>IF(E6=0,0,EXP(0.60608+0.91615*LN(E6)+0.0015655*(LN(E6))^2))</f>
        <v>72.163910501724175</v>
      </c>
      <c r="G6" s="28">
        <v>1</v>
      </c>
      <c r="H6" s="28">
        <v>13750</v>
      </c>
      <c r="I6" s="49">
        <f>IF(H6*G6=0,0,(F6*C6/(2*H6*G6-1.2*F6)))</f>
        <v>3.1589179800488164E-2</v>
      </c>
      <c r="J6" s="54" t="s">
        <v>258</v>
      </c>
      <c r="K6" s="49">
        <f>IF(AND(J6="y",B6="Vertical"),0.22*(C6+2*I6+1.5)*D6^2/H6/(C6+2*I6)^2,0)</f>
        <v>0</v>
      </c>
      <c r="L6" s="49">
        <f>(I6+(I6+K6))/2</f>
        <v>3.1589179800488164E-2</v>
      </c>
      <c r="M6" s="56">
        <v>0.125</v>
      </c>
      <c r="N6" s="49">
        <f>L6*12+M6</f>
        <v>0.50407015760585794</v>
      </c>
      <c r="O6" s="49">
        <f>IF(N6&lt;0.5,MAX(ROUNDUP(N6*16,0)/16,IF(C6&lt;4,0.25, IF(C6&lt;6,5/16,IF(C6&lt;8,0.375,IF(C6&lt;10,7/16,0.5))))),IF(N6&lt;2,ROUNDUP(N6*8,0)/8,ROUNDUP(N6*4,0)/4))</f>
        <v>0.625</v>
      </c>
      <c r="P6" s="42">
        <f>O6/12</f>
        <v>5.2083333333333336E-2</v>
      </c>
      <c r="Q6" s="28">
        <v>490</v>
      </c>
      <c r="R6" s="30">
        <f>IFERROR(PI()*(C6+P6)*(D6+0.8*C6)*P6*Q6,0)</f>
        <v>15074.101953317453</v>
      </c>
      <c r="S6" s="30">
        <f>IF(B6="Vertical",EXP(7.139+0.18255*LN(R6)+0.02297*((LN(R6)^2))),IF(B6="Horizontal",EXP(5.6336+0.4599*LN(R6)+0.00582*(LN(R6))^2),0))</f>
        <v>40009.245863359967</v>
      </c>
      <c r="T6" s="30">
        <f>IF(B6="Vertical",410.3*((C6)^0.7396)*(D6^0.70648),IF(B6="Horizontal",2275*C6^0.2094,0))</f>
        <v>3827.9120767412155</v>
      </c>
      <c r="U6" s="28">
        <v>1</v>
      </c>
      <c r="V6" s="26">
        <f ca="1">_xlfn.SHEETS('Summary Page'!$B$19)</f>
        <v>1</v>
      </c>
      <c r="W6" s="30">
        <f ca="1">T6+U6*S6*V6</f>
        <v>43837.157940101184</v>
      </c>
      <c r="X6" s="57">
        <f ca="1">($E$2/567)*W6</f>
        <v>61851.369227655989</v>
      </c>
      <c r="Y6" s="68">
        <f ca="1">X6*$B$2</f>
        <v>257301.69598704891</v>
      </c>
      <c r="Z6" s="26">
        <f>IF(R6&lt;&gt;0,IF(B6="Horizontal",IF(AND(R6&gt;=1000,R6&lt;=920000,I6&gt;0),0,1),IF(B6="Vertical",IF(AND(R6&gt;=4200,R6&lt;=1000000,C6&gt;=3,C6&lt;=24,D6&gt;=27,D6&lt;=170,I6&gt;0),0,1),1)),0)</f>
        <v>0</v>
      </c>
      <c r="AA6" s="64" t="str" cm="1">
        <f t="array" ref="AA6">IF(Z6&gt;0,"Warning - extrapolation in cost estimate, weight must be between "&amp;IF(B6="Horizontal","1000 and 920000",IF(B6="Vertical","4200 and 1000000, Di must be between 3 and 24, and L must be between 27 and 170",na)),"")</f>
        <v/>
      </c>
    </row>
    <row r="7" spans="1:27" x14ac:dyDescent="0.25">
      <c r="A7" s="38"/>
      <c r="B7" s="36"/>
      <c r="C7" s="36"/>
      <c r="D7" s="36"/>
      <c r="E7" s="36"/>
      <c r="F7" s="29"/>
      <c r="G7" s="36"/>
      <c r="H7" s="36"/>
      <c r="I7" s="49"/>
      <c r="J7" s="55"/>
      <c r="K7" s="49"/>
      <c r="L7" s="49"/>
      <c r="M7" s="55"/>
      <c r="N7" s="49"/>
      <c r="O7" s="49"/>
      <c r="P7" s="49"/>
      <c r="Q7" s="36"/>
      <c r="R7" s="43"/>
      <c r="S7" s="30"/>
      <c r="T7" s="30"/>
      <c r="U7" s="36"/>
      <c r="V7" s="36"/>
      <c r="W7" s="30"/>
      <c r="X7" s="32"/>
    </row>
    <row r="8" spans="1:27" x14ac:dyDescent="0.25">
      <c r="A8" s="69" t="s">
        <v>260</v>
      </c>
      <c r="B8" s="28" t="s">
        <v>262</v>
      </c>
      <c r="C8" s="28">
        <v>12</v>
      </c>
      <c r="D8" s="28">
        <v>6</v>
      </c>
      <c r="E8" s="28">
        <v>225.59</v>
      </c>
      <c r="F8" s="30">
        <f>IF(E8=0,0,EXP(0.60608+0.91615*LN(E8)+0.0015655*(LN(E8))^2))</f>
        <v>274.89978403422828</v>
      </c>
      <c r="G8" s="28">
        <v>1</v>
      </c>
      <c r="H8" s="28">
        <v>13750</v>
      </c>
      <c r="I8" s="49">
        <f>IF(H8*G8=0,0,(F8*C8/(2*H8*G8-1.2*F8)))</f>
        <v>0.12141269074062083</v>
      </c>
      <c r="J8" s="54" t="s">
        <v>258</v>
      </c>
      <c r="K8" s="49">
        <f>IF(AND(J8="y",B8="Vertical"),0.22*(C8+2*I8+1.5)*D8^2/H8/(C8+2*I8)^2,0)</f>
        <v>0</v>
      </c>
      <c r="L8" s="49">
        <f>(I8+(I8+K8))/2</f>
        <v>0.12141269074062083</v>
      </c>
      <c r="M8" s="56">
        <v>0.125</v>
      </c>
      <c r="N8" s="49">
        <f>L8*12+M8</f>
        <v>1.58195228888745</v>
      </c>
      <c r="O8" s="49">
        <f>IF(N8&lt;0.5,MAX(ROUNDUP(N8*16,0)/16,IF(C8&lt;4,0.25, IF(C8&lt;6,5/16,IF(C8&lt;8,0.375,IF(C8&lt;10,7/16,0.5))))),IF(N8&lt;2,ROUNDUP(N8*8,0)/8,ROUNDUP(N8*4,0)/4))</f>
        <v>1.625</v>
      </c>
      <c r="P8" s="42">
        <f>O8/12</f>
        <v>0.13541666666666666</v>
      </c>
      <c r="Q8" s="28">
        <v>490</v>
      </c>
      <c r="R8" s="30">
        <f>IFERROR(PI()*(C8+P8)*(D8+0.8*C8)*P8*Q8,0)</f>
        <v>39463.66016992095</v>
      </c>
      <c r="S8" s="30">
        <f>IF(B8="Vertical",EXP(7.139+0.18255*LN(R8)+0.02297*((LN(R8)^2))),IF(B8="Horizontal",EXP(5.6336+0.4599*LN(R8)+0.00582*(LN(R8))^2),0))</f>
        <v>69747.724867222074</v>
      </c>
      <c r="T8" s="30">
        <f>IF(B8="Vertical",410.3*((C8)^0.7396)*(D8^0.70648),IF(B8="Horizontal",2275*C8^0.2094,0))</f>
        <v>3827.9120767412155</v>
      </c>
      <c r="U8" s="28">
        <v>1</v>
      </c>
      <c r="V8" s="26">
        <f ca="1">_xlfn.SHEETS('Summary Page'!$B$19)</f>
        <v>1</v>
      </c>
      <c r="W8" s="30">
        <f ca="1">T8+U8*S8*V8</f>
        <v>73575.636943963284</v>
      </c>
      <c r="X8" s="57">
        <f ca="1">($E$2/567)*W8</f>
        <v>103810.42249589175</v>
      </c>
      <c r="Y8" s="68">
        <f ca="1">X8*$B$2</f>
        <v>431851.3575829097</v>
      </c>
      <c r="Z8" s="26">
        <f>IF(R8&lt;&gt;0,IF(B8="Horizontal",IF(AND(R8&gt;=1000,R8&lt;=920000,I8&gt;0),0,1),IF(B8="Vertical",IF(AND(R8&gt;=4200,R8&lt;=1000000,C8&gt;=3,C8&lt;=24,D8&gt;=27,D8&lt;=170,I8&gt;0),0,1),1)),0)</f>
        <v>0</v>
      </c>
      <c r="AA8" s="64" t="str">
        <f>IF(Z8&gt;0,"Warning - extrapolation in cost estimate, refer to textbook for valid range","")</f>
        <v/>
      </c>
    </row>
    <row r="9" spans="1:27" x14ac:dyDescent="0.25">
      <c r="A9" s="38"/>
      <c r="B9" s="36"/>
      <c r="C9" s="36"/>
      <c r="D9" s="36"/>
      <c r="E9" s="36"/>
      <c r="F9" s="29"/>
      <c r="G9" s="36"/>
      <c r="H9" s="36"/>
      <c r="I9" s="49"/>
      <c r="J9" s="55"/>
      <c r="K9" s="49"/>
      <c r="L9" s="49"/>
      <c r="M9" s="55"/>
      <c r="N9" s="49"/>
      <c r="O9" s="49"/>
      <c r="P9" s="49"/>
      <c r="Q9" s="36"/>
      <c r="R9" s="43"/>
      <c r="S9" s="30"/>
      <c r="T9" s="30"/>
      <c r="U9" s="36"/>
      <c r="V9" s="36"/>
      <c r="W9" s="30"/>
      <c r="X9" s="32"/>
    </row>
    <row r="10" spans="1:27" x14ac:dyDescent="0.25">
      <c r="A10" s="61" t="s">
        <v>261</v>
      </c>
      <c r="B10" s="28" t="s">
        <v>262</v>
      </c>
      <c r="C10" s="28">
        <v>12</v>
      </c>
      <c r="D10" s="28">
        <v>6</v>
      </c>
      <c r="E10" s="28">
        <v>985.95</v>
      </c>
      <c r="F10" s="30">
        <f>IF(E10=0,0,EXP(0.60608+0.91615*LN(E10)+0.0015655*(LN(E10))^2))</f>
        <v>1092.3123892643241</v>
      </c>
      <c r="G10" s="28">
        <v>1</v>
      </c>
      <c r="H10" s="28">
        <v>13750</v>
      </c>
      <c r="I10" s="49">
        <f>IF(H10*G10=0,0,(F10*C10/(2*H10*G10-1.2*F10)))</f>
        <v>0.50050158432194281</v>
      </c>
      <c r="J10" s="54" t="s">
        <v>258</v>
      </c>
      <c r="K10" s="49">
        <f>IF(AND(J10="y",B10="Vertical"),0.22*(C10+2*I10+1.5)*D10^2/H10/(C10+2*I10)^2,0)</f>
        <v>0</v>
      </c>
      <c r="L10" s="49">
        <f>(I10+(I10+K10))/2</f>
        <v>0.50050158432194281</v>
      </c>
      <c r="M10" s="56">
        <v>0.125</v>
      </c>
      <c r="N10" s="49">
        <f>L10*12+M10</f>
        <v>6.1310190118633141</v>
      </c>
      <c r="O10" s="49">
        <f>IF(N10&lt;0.5,MAX(ROUNDUP(N10*16,0)/16,IF(C10&lt;4,0.25, IF(C10&lt;6,5/16,IF(C10&lt;8,0.375,IF(C10&lt;10,7/16,0.5))))),IF(N10&lt;2,ROUNDUP(N10*8,0)/8,ROUNDUP(N10*4,0)/4))</f>
        <v>6.25</v>
      </c>
      <c r="P10" s="42">
        <f>O10/12</f>
        <v>0.52083333333333337</v>
      </c>
      <c r="Q10" s="28">
        <v>490</v>
      </c>
      <c r="R10" s="30">
        <f>IFERROR(PI()*(C10+P10)*(D10+0.8*C10)*P10*Q10,0)</f>
        <v>156603.89410447344</v>
      </c>
      <c r="S10" s="30">
        <f>IF(B10="Vertical",EXP(7.139+0.18255*LN(R10)+0.02297*((LN(R10)^2))),IF(B10="Horizontal",EXP(5.6336+0.4599*LN(R10)+0.00582*(LN(R10))^2),0))</f>
        <v>157532.92700426362</v>
      </c>
      <c r="T10" s="30">
        <f>IF(B10="Vertical",410.3*((C10)^0.7396)*(D10^0.70648),IF(B10="Horizontal",2275*C10^0.2094,0))</f>
        <v>3827.9120767412155</v>
      </c>
      <c r="U10" s="28">
        <v>1</v>
      </c>
      <c r="V10" s="26">
        <f ca="1">_xlfn.SHEETS('Summary Page'!$B$19)</f>
        <v>1</v>
      </c>
      <c r="W10" s="30">
        <f ca="1">T10+U10*S10*V10</f>
        <v>161360.83908100484</v>
      </c>
      <c r="X10" s="57">
        <f ca="1">($E$2/567)*W10</f>
        <v>227669.61422363998</v>
      </c>
      <c r="Y10" s="68">
        <f ca="1">X10*$B$2</f>
        <v>947105.59517034236</v>
      </c>
      <c r="Z10" s="26">
        <f>IF(R10&lt;&gt;0,IF(B10="Horizontal",IF(AND(R10&gt;=1000,R10&lt;=920000,I10&gt;0),0,1),IF(B10="Vertical",IF(AND(R10&gt;=4200,R10&lt;=1000000,C10&gt;=3,C10&lt;=24,D10&gt;=27,D10&lt;=170,I10&gt;0),0,1),1)),0)</f>
        <v>0</v>
      </c>
      <c r="AA10" s="64" t="str">
        <f>IF(Z10&gt;0,"Warning - extrapolation in cost estimate, refer to textbook for valid range","")</f>
        <v/>
      </c>
    </row>
    <row r="11" spans="1:27" x14ac:dyDescent="0.25">
      <c r="A11" s="38"/>
      <c r="B11" s="36"/>
      <c r="C11" s="36"/>
      <c r="D11" s="36"/>
      <c r="E11" s="36"/>
      <c r="F11" s="29"/>
      <c r="G11" s="36"/>
      <c r="H11" s="36"/>
      <c r="I11" s="49"/>
      <c r="J11" s="55"/>
      <c r="K11" s="49"/>
      <c r="L11" s="49"/>
      <c r="M11" s="55"/>
      <c r="N11" s="49"/>
      <c r="O11" s="49"/>
      <c r="P11" s="49"/>
      <c r="Q11" s="36"/>
      <c r="R11" s="43"/>
      <c r="S11" s="30"/>
      <c r="T11" s="30"/>
      <c r="U11" s="36"/>
      <c r="V11" s="36"/>
      <c r="W11" s="30"/>
      <c r="X11" s="32"/>
    </row>
    <row r="12" spans="1:27" x14ac:dyDescent="0.25">
      <c r="A12" s="61" t="s">
        <v>263</v>
      </c>
      <c r="B12" s="28" t="s">
        <v>262</v>
      </c>
      <c r="C12" s="28">
        <v>9.8332999999999995</v>
      </c>
      <c r="D12" s="28">
        <v>44.333300000000001</v>
      </c>
      <c r="E12" s="28">
        <v>217.55699999999999</v>
      </c>
      <c r="F12" s="30">
        <f>IF(E12=0,0,EXP(0.60608+0.91615*LN(E12)+0.0015655*(LN(E12))^2))</f>
        <v>265.75516715163445</v>
      </c>
      <c r="G12" s="28">
        <v>1</v>
      </c>
      <c r="H12" s="28">
        <v>13750</v>
      </c>
      <c r="I12" s="49">
        <f>IF(H12*G12=0,0,(F12*C12/(2*H12*G12-1.2*F12)))</f>
        <v>9.614220474115423E-2</v>
      </c>
      <c r="J12" s="54" t="s">
        <v>258</v>
      </c>
      <c r="K12" s="49">
        <f>IF(AND(J12="y",B12="Vertical"),0.22*(C12+2*I12+1.5)*D12^2/H12/(C12+2*I12)^2,0)</f>
        <v>0</v>
      </c>
      <c r="L12" s="49">
        <f>(I12+(I12+K12))/2</f>
        <v>9.614220474115423E-2</v>
      </c>
      <c r="M12" s="56">
        <v>0.125</v>
      </c>
      <c r="N12" s="49">
        <f>L12*12+M12</f>
        <v>1.2787064568938509</v>
      </c>
      <c r="O12" s="49">
        <f>IF(N12&lt;0.5,MAX(ROUNDUP(N12*16,0)/16,IF(C12&lt;4,0.25, IF(C12&lt;6,5/16,IF(C12&lt;8,0.375,IF(C12&lt;10,7/16,0.5))))),IF(N12&lt;2,ROUNDUP(N12*8,0)/8,ROUNDUP(N12*4,0)/4))</f>
        <v>1.375</v>
      </c>
      <c r="P12" s="42">
        <f>O12/12</f>
        <v>0.11458333333333333</v>
      </c>
      <c r="Q12" s="28">
        <v>490</v>
      </c>
      <c r="R12" s="30">
        <f>IFERROR(PI()*(C12+P12)*(D12+0.8*C12)*P12*Q12,0)</f>
        <v>91594.224921775924</v>
      </c>
      <c r="S12" s="30">
        <f>IF(B12="Vertical",EXP(7.139+0.18255*LN(R12)+0.02297*((LN(R12)^2))),IF(B12="Horizontal",EXP(5.6336+0.4599*LN(R12)+0.00582*(LN(R12))^2),0))</f>
        <v>114430.04565632247</v>
      </c>
      <c r="T12" s="30">
        <f>IF(B12="Vertical",410.3*((C12)^0.7396)*(D12^0.70648),IF(B12="Horizontal",2275*C12^0.2094,0))</f>
        <v>3671.5769281269363</v>
      </c>
      <c r="U12" s="28">
        <v>1</v>
      </c>
      <c r="V12" s="26">
        <f ca="1">_xlfn.SHEETS('Summary Page'!$B$19)</f>
        <v>1</v>
      </c>
      <c r="W12" s="30">
        <f ca="1">T12+U12*S12*V12</f>
        <v>118101.6225844494</v>
      </c>
      <c r="X12" s="57">
        <f ca="1">($E$2/567)*W12</f>
        <v>166633.68265883514</v>
      </c>
      <c r="Y12" s="68">
        <f ca="1">X12*$B$2</f>
        <v>693196.11986075423</v>
      </c>
      <c r="Z12" s="26">
        <f>IF(R12&lt;&gt;0,IF(B12="Horizontal",IF(AND(R12&gt;=1000,R12&lt;=920000,I12&gt;0),0,1),IF(B12="Vertical",IF(AND(R12&gt;=4200,R12&lt;=1000000,C12&gt;=3,C12&lt;=24,D12&gt;=27,D12&lt;=170,I12&gt;0),0,1),1)),0)</f>
        <v>0</v>
      </c>
      <c r="AA12" s="64" t="str">
        <f>IF(Z12&gt;0,"Warning - extrapolation in cost estimate, refer to textbook for valid range","")</f>
        <v/>
      </c>
    </row>
    <row r="13" spans="1:27" x14ac:dyDescent="0.25">
      <c r="A13" s="38"/>
      <c r="B13" s="36"/>
      <c r="C13" s="36"/>
      <c r="D13" s="36"/>
      <c r="E13" s="36"/>
      <c r="F13" s="29"/>
      <c r="G13" s="36"/>
      <c r="H13" s="36"/>
      <c r="I13" s="49"/>
      <c r="J13" s="55"/>
      <c r="K13" s="49"/>
      <c r="L13" s="49"/>
      <c r="M13" s="55"/>
      <c r="N13" s="49"/>
      <c r="O13" s="49"/>
      <c r="P13" s="49"/>
      <c r="Q13" s="36"/>
      <c r="R13" s="43"/>
      <c r="S13" s="30"/>
      <c r="T13" s="30"/>
      <c r="U13" s="36"/>
      <c r="V13" s="36"/>
      <c r="W13" s="30"/>
      <c r="X13" s="32"/>
    </row>
    <row r="14" spans="1:27" x14ac:dyDescent="0.25">
      <c r="A14" s="61" t="s">
        <v>265</v>
      </c>
      <c r="B14" s="28" t="s">
        <v>266</v>
      </c>
      <c r="C14" s="28">
        <v>12.59843</v>
      </c>
      <c r="D14" s="28">
        <v>50</v>
      </c>
      <c r="E14" s="28">
        <v>217.55699999999999</v>
      </c>
      <c r="F14" s="30">
        <f>IF(E14=0,0,EXP(0.60608+0.91615*LN(E14)+0.0015655*(LN(E14))^2))</f>
        <v>265.75516715163445</v>
      </c>
      <c r="G14" s="28">
        <v>1</v>
      </c>
      <c r="H14" s="28">
        <v>13750</v>
      </c>
      <c r="I14" s="49">
        <f>IF(H14*G14=0,0,(F14*C14/(2*H14*G14-1.2*F14)))</f>
        <v>0.12317745176869412</v>
      </c>
      <c r="J14" s="54" t="s">
        <v>258</v>
      </c>
      <c r="K14" s="49">
        <f>IF(AND(J14="y",B14="Vertical"),0.22*(C14+2*I14+1.5)*D14^2/H14/(C14+2*I14)^2,0)</f>
        <v>0</v>
      </c>
      <c r="L14" s="49">
        <f>(I14+(I14+K14))/2</f>
        <v>0.12317745176869412</v>
      </c>
      <c r="M14" s="56">
        <v>0.125</v>
      </c>
      <c r="N14" s="49">
        <f>L14*12+M14</f>
        <v>1.6031294212243294</v>
      </c>
      <c r="O14" s="49">
        <f>IF(N14&lt;0.5,MAX(ROUNDUP(N14*16,0)/16,IF(C14&lt;4,0.25, IF(C14&lt;6,5/16,IF(C14&lt;8,0.375,IF(C14&lt;10,7/16,0.5))))),IF(N14&lt;2,ROUNDUP(N14*8,0)/8,ROUNDUP(N14*4,0)/4))</f>
        <v>1.625</v>
      </c>
      <c r="P14" s="42">
        <f>O14/12</f>
        <v>0.13541666666666666</v>
      </c>
      <c r="Q14" s="28">
        <v>490</v>
      </c>
      <c r="R14" s="30">
        <f>IFERROR(PI()*(C14+P14)*(D14+0.8*C14)*P14*Q14,0)</f>
        <v>159477.17459735365</v>
      </c>
      <c r="S14" s="30">
        <f>IF(B14="Vertical",EXP(7.139+0.18255*LN(R14)+0.02297*((LN(R14)^2))),IF(B14="Horizontal",EXP(5.6336+0.4599*LN(R14)+0.00582*(LN(R14))^2),0))</f>
        <v>303264.4668106754</v>
      </c>
      <c r="T14" s="30">
        <f>IF(B14="Vertical",410.3*((C14)^0.7396)*(D14^0.70648),IF(B14="Horizontal",2275*C14^0.2094,0))</f>
        <v>42382.236953996005</v>
      </c>
      <c r="U14" s="28">
        <v>1.7</v>
      </c>
      <c r="V14" s="26">
        <f ca="1">_xlfn.SHEETS('Summary Page'!$B$19)</f>
        <v>1</v>
      </c>
      <c r="W14" s="30">
        <f ca="1">T14+U14*S14*V14</f>
        <v>557931.83053214417</v>
      </c>
      <c r="X14" s="57">
        <f ca="1">($E$2/567)*W14</f>
        <v>787205.40463089116</v>
      </c>
      <c r="Y14" s="68">
        <f ca="1">X14*$B$2</f>
        <v>3274774.4832645073</v>
      </c>
      <c r="Z14" s="26">
        <f>IF(R14&lt;&gt;0,IF(B14="Horizontal",IF(AND(R14&gt;=1000,R14&lt;=920000,I14&gt;0),0,1),IF(B14="Vertical",IF(AND(R14&gt;=4200,R14&lt;=1000000,C14&gt;=3,C14&lt;=24,D14&gt;=27,D14&lt;=170,I14&gt;0),0,1),1)),0)</f>
        <v>0</v>
      </c>
      <c r="AA14" s="64" t="str">
        <f>IF(Z14&gt;0,"Warning - extrapolation in cost estimate, refer to textbook for valid range","")</f>
        <v/>
      </c>
    </row>
    <row r="15" spans="1:27" x14ac:dyDescent="0.25">
      <c r="E15" s="26" t="s">
        <v>155</v>
      </c>
    </row>
    <row r="16" spans="1:27" x14ac:dyDescent="0.25">
      <c r="H16" s="26" t="s">
        <v>93</v>
      </c>
    </row>
    <row r="17" spans="1:25" x14ac:dyDescent="0.25">
      <c r="H17" s="26" t="s">
        <v>163</v>
      </c>
    </row>
    <row r="18" spans="1:25" x14ac:dyDescent="0.25">
      <c r="H18" s="26" t="s">
        <v>162</v>
      </c>
    </row>
    <row r="22" spans="1:25" x14ac:dyDescent="0.25">
      <c r="A22" s="27"/>
      <c r="B22" s="27"/>
      <c r="C22" s="27"/>
      <c r="D22" s="27"/>
      <c r="E22" s="27"/>
      <c r="F22" s="27"/>
      <c r="G22" s="27"/>
      <c r="H22" s="27"/>
      <c r="I22" s="27"/>
      <c r="J22" s="27"/>
      <c r="K22" s="27"/>
      <c r="L22" s="27"/>
      <c r="M22" s="27"/>
      <c r="N22" s="27"/>
      <c r="O22" s="27"/>
      <c r="P22" s="27"/>
      <c r="Q22" s="27"/>
      <c r="U22" s="27"/>
      <c r="V22" s="27"/>
    </row>
    <row r="23" spans="1:25" x14ac:dyDescent="0.25">
      <c r="G23" s="29"/>
      <c r="H23" s="29"/>
      <c r="I23" s="29"/>
      <c r="J23" s="29"/>
      <c r="K23" s="29"/>
      <c r="L23" s="29"/>
      <c r="M23" s="29"/>
      <c r="N23" s="29"/>
      <c r="O23" s="29"/>
      <c r="P23" s="29"/>
    </row>
    <row r="24" spans="1:25" x14ac:dyDescent="0.25">
      <c r="T24" s="37"/>
      <c r="Y24" s="37"/>
    </row>
    <row r="25" spans="1:25" x14ac:dyDescent="0.25">
      <c r="R25" s="42"/>
    </row>
    <row r="27" spans="1:25" x14ac:dyDescent="0.25">
      <c r="A27" s="27"/>
      <c r="B27" s="27"/>
      <c r="C27" s="27"/>
      <c r="D27" s="27"/>
      <c r="E27" s="27"/>
      <c r="F27" s="27"/>
      <c r="G27" s="27"/>
      <c r="H27" s="27"/>
      <c r="I27" s="27"/>
      <c r="J27" s="27"/>
      <c r="K27" s="27"/>
      <c r="L27" s="27"/>
      <c r="M27" s="27"/>
      <c r="N27" s="27"/>
      <c r="O27" s="27"/>
      <c r="P27" s="27"/>
      <c r="Q27" s="27"/>
      <c r="R27" s="42"/>
      <c r="U27" s="27"/>
      <c r="V27" s="27"/>
      <c r="W27" s="27"/>
      <c r="X27" s="27"/>
    </row>
    <row r="28" spans="1:25" x14ac:dyDescent="0.25">
      <c r="G28" s="29"/>
      <c r="H28" s="29"/>
      <c r="I28" s="29"/>
      <c r="J28" s="29"/>
      <c r="K28" s="29"/>
      <c r="L28" s="29"/>
      <c r="M28" s="29"/>
      <c r="N28" s="29"/>
      <c r="O28" s="29"/>
      <c r="P28" s="29"/>
    </row>
    <row r="32" spans="1:25" x14ac:dyDescent="0.25">
      <c r="T32" s="37"/>
    </row>
    <row r="33" spans="2:2" x14ac:dyDescent="0.25">
      <c r="B33" s="50"/>
    </row>
  </sheetData>
  <sheetProtection algorithmName="SHA-512" hashValue="VNDnJQfliYABgJcIJOEhF+l7SSUqIYzEoyvPBDbLrbZH9iGBhpcoCbSDvKCnHVsW2wdEp9TEZpKfYW2JvUWXXA==" saltValue="tMQHj5RMUVcbdCL3FBsBJA==" spinCount="100000" sheet="1" objects="1" scenarios="1"/>
  <phoneticPr fontId="4" type="noConversion"/>
  <dataValidations count="3">
    <dataValidation type="list" allowBlank="1" showInputMessage="1" showErrorMessage="1" sqref="B6 B8 B10 B12 B14" xr:uid="{00000000-0002-0000-0C00-000000000000}">
      <formula1>"Vertical,Horizontal"</formula1>
    </dataValidation>
    <dataValidation type="list" allowBlank="1" showInputMessage="1" showErrorMessage="1" sqref="J6 J8 J10 J12 J14" xr:uid="{00000000-0002-0000-0C00-000001000000}">
      <formula1>"Y,N"</formula1>
    </dataValidation>
    <dataValidation type="list" allowBlank="1" showInputMessage="1" showErrorMessage="1" sqref="G6 G8 G10 G12 G14" xr:uid="{EB99612B-C1F5-4444-9E81-12B6A3F2CB4F}">
      <formula1>"0.85, 1.0"</formula1>
    </dataValidation>
  </dataValidations>
  <hyperlinks>
    <hyperlink ref="I1" location="'Summary Page'!A1" display="Summary page" xr:uid="{00000000-0004-0000-0C00-000000000000}"/>
  </hyperlinks>
  <pageMargins left="0.75" right="0.75" top="1" bottom="1" header="0.5" footer="0.5"/>
  <pageSetup orientation="portrait" horizontalDpi="4294967292" verticalDpi="4294967292" r:id="rId1"/>
  <headerFooter>
    <oddHeader>&amp;C&amp;"Calibri"&amp;10&amp;K000000 Public&amp;1#_x000D_</oddHeader>
    <oddFooter>&amp;C_x000D_&amp;1#&amp;"Calibri"&amp;10&amp;K000000 Public</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S53"/>
  <sheetViews>
    <sheetView workbookViewId="0"/>
  </sheetViews>
  <sheetFormatPr defaultColWidth="11" defaultRowHeight="15.75" x14ac:dyDescent="0.25"/>
  <cols>
    <col min="1" max="1" width="26.875" customWidth="1"/>
    <col min="11" max="11" width="11" hidden="1" customWidth="1"/>
    <col min="15" max="15" width="0.125" customWidth="1"/>
  </cols>
  <sheetData>
    <row r="1" spans="1:19" x14ac:dyDescent="0.25">
      <c r="A1" s="1" t="s">
        <v>15</v>
      </c>
      <c r="I1" s="34" t="s">
        <v>158</v>
      </c>
    </row>
    <row r="2" spans="1:19" x14ac:dyDescent="0.25">
      <c r="A2" t="s">
        <v>12</v>
      </c>
      <c r="B2">
        <v>3.3</v>
      </c>
      <c r="D2" t="s">
        <v>137</v>
      </c>
      <c r="E2">
        <f>'Summary Page'!B19</f>
        <v>800</v>
      </c>
    </row>
    <row r="3" spans="1:19" s="2" customFormat="1" x14ac:dyDescent="0.25">
      <c r="B3"/>
      <c r="C3"/>
      <c r="D3"/>
      <c r="E3"/>
      <c r="F3"/>
      <c r="G3"/>
      <c r="H3"/>
      <c r="I3"/>
      <c r="J3"/>
      <c r="K3"/>
    </row>
    <row r="4" spans="1:19" s="3" customFormat="1" x14ac:dyDescent="0.25">
      <c r="A4" t="s">
        <v>23</v>
      </c>
      <c r="B4"/>
      <c r="C4"/>
      <c r="D4"/>
      <c r="E4"/>
      <c r="F4"/>
      <c r="G4"/>
      <c r="H4"/>
      <c r="I4"/>
      <c r="J4"/>
      <c r="K4"/>
    </row>
    <row r="5" spans="1:19" x14ac:dyDescent="0.25">
      <c r="A5" t="s">
        <v>190</v>
      </c>
      <c r="B5" t="s">
        <v>16</v>
      </c>
      <c r="C5" t="s">
        <v>17</v>
      </c>
      <c r="D5" s="26" t="s">
        <v>19</v>
      </c>
      <c r="E5" s="26" t="s">
        <v>21</v>
      </c>
      <c r="F5" s="26" t="s">
        <v>18</v>
      </c>
      <c r="G5" s="26" t="s">
        <v>22</v>
      </c>
      <c r="H5" s="26" t="s">
        <v>46</v>
      </c>
      <c r="I5" s="26" t="s">
        <v>8</v>
      </c>
      <c r="J5" s="26" t="s">
        <v>9</v>
      </c>
      <c r="K5" s="26"/>
      <c r="L5" s="26" t="s">
        <v>11</v>
      </c>
      <c r="M5" s="26" t="s">
        <v>11</v>
      </c>
      <c r="N5" s="26" t="s">
        <v>14</v>
      </c>
      <c r="O5" s="66" t="s">
        <v>213</v>
      </c>
      <c r="P5" s="26"/>
      <c r="Q5" s="26"/>
      <c r="R5" s="26"/>
      <c r="S5" s="26"/>
    </row>
    <row r="6" spans="1:19" x14ac:dyDescent="0.25">
      <c r="A6" s="3"/>
      <c r="B6" s="3" t="s">
        <v>1</v>
      </c>
      <c r="C6" s="3" t="s">
        <v>4</v>
      </c>
      <c r="D6" s="27" t="s">
        <v>20</v>
      </c>
      <c r="E6" s="27"/>
      <c r="F6" s="27" t="s">
        <v>6</v>
      </c>
      <c r="G6" s="27"/>
      <c r="H6" s="27" t="s">
        <v>6</v>
      </c>
      <c r="I6" s="27" t="s">
        <v>135</v>
      </c>
      <c r="J6" s="27" t="s">
        <v>236</v>
      </c>
      <c r="K6" s="27"/>
      <c r="L6" s="27" t="s">
        <v>135</v>
      </c>
      <c r="M6" s="27" t="s">
        <v>13</v>
      </c>
      <c r="N6" s="27" t="s">
        <v>13</v>
      </c>
      <c r="O6" s="26"/>
      <c r="P6" s="26"/>
      <c r="Q6" s="26"/>
      <c r="R6" s="26"/>
      <c r="S6" s="26"/>
    </row>
    <row r="7" spans="1:19" x14ac:dyDescent="0.25">
      <c r="A7" s="60"/>
      <c r="B7" s="4"/>
      <c r="C7" s="4"/>
      <c r="D7" s="28"/>
      <c r="E7" s="29">
        <f>IF(B7&lt;=0,0,-0.316+0.24015*LN(B7)-0.01199*(LN(B7))^2)</f>
        <v>0</v>
      </c>
      <c r="F7" s="29">
        <f>IF(B7=0,0,(B7*C7*D7)/(33000*E7))</f>
        <v>0</v>
      </c>
      <c r="G7" s="29">
        <f>IF(F7=0,0,0.8+0.0319*LN(F7)-0.00182*(LN(F7))^2)</f>
        <v>0</v>
      </c>
      <c r="H7" s="29">
        <f>IF(F7=0,0,F7/G7)</f>
        <v>0</v>
      </c>
      <c r="I7" s="30">
        <f>IF(AND(H7=0,H20=0),0,IF(H7=0,EXP(5.9332+0.16829*LN(H20)-0.110056*(LN(H20))^2+0.071413*(LN(H20))^3-0.0063788*(LN(H20))^4),IF(H20=0,EXP(5.9332+0.16829*LN(H7)-0.110056*(LN(H7))^2+0.071413*(LN(H7))^3-0.0063788*(LN(H7))^4))))</f>
        <v>0</v>
      </c>
      <c r="J7" s="31"/>
      <c r="K7" s="29">
        <f ca="1">_xlfn.SHEETS('Summary Page'!$B$19)</f>
        <v>1</v>
      </c>
      <c r="L7" s="30">
        <f ca="1">J7*I7*K7</f>
        <v>0</v>
      </c>
      <c r="M7" s="30">
        <f ca="1">($E$2/567)*L7</f>
        <v>0</v>
      </c>
      <c r="N7" s="32">
        <f ca="1">M7*B2</f>
        <v>0</v>
      </c>
      <c r="O7" s="26">
        <f>IF(F7&lt;&gt;0,IF(AND(H7&gt;=1,H7&lt;=700),0,1),IF(B20&lt;&gt;0,IF(AND(H20&gt;=1,H20&lt;=700),0,1),0))</f>
        <v>0</v>
      </c>
      <c r="P7" s="64" t="str">
        <f>IF(O7&gt;0,"Warning - extrapolation in cost estimate, Pc must be between 1 and 700 hp","")</f>
        <v/>
      </c>
      <c r="Q7" s="10"/>
      <c r="R7" s="26"/>
      <c r="S7" s="26"/>
    </row>
    <row r="8" spans="1:19" x14ac:dyDescent="0.25">
      <c r="D8" s="26"/>
      <c r="E8" s="26"/>
      <c r="F8" s="26"/>
      <c r="G8" s="26"/>
      <c r="H8" s="26"/>
      <c r="I8" s="26"/>
      <c r="J8" s="26"/>
      <c r="K8" s="26"/>
      <c r="L8" s="26"/>
      <c r="M8" s="26"/>
      <c r="N8" s="26"/>
      <c r="O8" s="26"/>
      <c r="P8" s="26"/>
      <c r="Q8" s="26"/>
      <c r="R8" s="26"/>
      <c r="S8" s="26"/>
    </row>
    <row r="9" spans="1:19" x14ac:dyDescent="0.25">
      <c r="A9" s="59"/>
      <c r="B9" s="4"/>
      <c r="C9" s="4"/>
      <c r="D9" s="28"/>
      <c r="E9" s="29">
        <f>IF(B9&lt;=0,0,-0.316+0.24015*LN(B9)-0.01199*(LN(B9))^2)</f>
        <v>0</v>
      </c>
      <c r="F9" s="29">
        <f>IF(B9=0,0,(B9*C9*D9)/(33000*E9))</f>
        <v>0</v>
      </c>
      <c r="G9" s="29">
        <f>IF(F9=0,0,0.8+0.0319*LN(F9)-0.00182*(LN(F9))^2)</f>
        <v>0</v>
      </c>
      <c r="H9" s="29">
        <f>IF(F9=0,0,F9/G9)</f>
        <v>0</v>
      </c>
      <c r="I9" s="30">
        <f>IF(AND(H9=0,H22=0),0,IF(H9=0,EXP(5.9332+0.16829*LN(H22)-0.110056*(LN(H22))^2+0.071413*(LN(H22))^3-0.0063788*(LN(H22))^4),IF(H22=0,EXP(5.9332+0.16829*LN(H9)-0.110056*(LN(H9))^2+0.071413*(LN(H9))^3-0.0063788*(LN(H9))^4))))</f>
        <v>0</v>
      </c>
      <c r="J9" s="31"/>
      <c r="K9" s="29">
        <f ca="1">_xlfn.SHEETS('Summary Page'!$B$19)</f>
        <v>1</v>
      </c>
      <c r="L9" s="30">
        <f ca="1">J9*I9*K9</f>
        <v>0</v>
      </c>
      <c r="M9" s="30">
        <f ca="1">($E$2/567)*L9</f>
        <v>0</v>
      </c>
      <c r="N9" s="32">
        <f ca="1">M9*B2</f>
        <v>0</v>
      </c>
      <c r="O9" s="26">
        <f>IF(F9&lt;&gt;0,IF(AND(H9&gt;=1,H9&lt;=700),0,1),IF(B22&lt;&gt;0,IF(AND(H22&gt;=1,H22&lt;=700),0,1),0))</f>
        <v>0</v>
      </c>
      <c r="P9" s="64" t="str">
        <f>IF(O9&gt;0,"Warning - extrapolation in cost estimate, Pc must be between 1 and 700 hp","")</f>
        <v/>
      </c>
      <c r="Q9" s="26"/>
      <c r="R9" s="26"/>
      <c r="S9" s="26"/>
    </row>
    <row r="10" spans="1:19" s="3" customFormat="1" x14ac:dyDescent="0.25">
      <c r="B10"/>
      <c r="C10"/>
      <c r="D10" s="26"/>
      <c r="E10" s="26"/>
      <c r="F10" s="26"/>
      <c r="G10" s="26"/>
      <c r="H10" s="26"/>
      <c r="I10" s="26"/>
      <c r="J10" s="26"/>
      <c r="K10" s="26"/>
      <c r="L10" s="26"/>
      <c r="M10" s="26"/>
      <c r="N10" s="26"/>
      <c r="O10" s="27"/>
      <c r="P10" s="27"/>
      <c r="Q10" s="27"/>
      <c r="R10" s="27"/>
      <c r="S10" s="27"/>
    </row>
    <row r="11" spans="1:19" x14ac:dyDescent="0.25">
      <c r="A11" s="59"/>
      <c r="B11" s="4"/>
      <c r="C11" s="4"/>
      <c r="D11" s="28"/>
      <c r="E11" s="29">
        <f>IF(B11&lt;=0,0,-0.316+0.24015*LN(B11)-0.01199*(LN(B11))^2)</f>
        <v>0</v>
      </c>
      <c r="F11" s="29">
        <f>IF(B11=0,0,(B11*C11*D11)/(33000*E11))</f>
        <v>0</v>
      </c>
      <c r="G11" s="29">
        <f>IF(F11=0,0,0.8+0.0319*LN(F11)-0.00182*(LN(F11))^2)</f>
        <v>0</v>
      </c>
      <c r="H11" s="29">
        <f>IF(F11=0,0,F11/G11)</f>
        <v>0</v>
      </c>
      <c r="I11" s="30">
        <f>IF(AND(H11=0,H24=0),0,IF(H11=0,EXP(5.9332+0.16829*LN(H24)-0.110056*(LN(H24))^2+0.071413*(LN(H24))^3-0.0063788*(LN(H24))^4),IF(H24=0,EXP(5.9332+0.16829*LN(H11)-0.110056*(LN(H11))^2+0.071413*(LN(H11))^3-0.0063788*(LN(H11))^4))))</f>
        <v>0</v>
      </c>
      <c r="J11" s="31"/>
      <c r="K11" s="29">
        <f ca="1">_xlfn.SHEETS('Summary Page'!$B$19)</f>
        <v>1</v>
      </c>
      <c r="L11" s="30">
        <f ca="1">J11*I11*K11</f>
        <v>0</v>
      </c>
      <c r="M11" s="30">
        <f ca="1">($E$2/567)*L11</f>
        <v>0</v>
      </c>
      <c r="N11" s="32">
        <f ca="1">M11*B2</f>
        <v>0</v>
      </c>
      <c r="O11" s="26">
        <f>IF(F11&lt;&gt;0,IF(AND(H11&gt;=1,H11&lt;=700),0,1),IF(B24&lt;&gt;0,IF(AND(H24&gt;=1,H24&lt;=700),0,1),0))</f>
        <v>0</v>
      </c>
      <c r="P11" s="64" t="str">
        <f>IF(O11&gt;0,"Warning - extrapolation in cost estimate, Pc must be between 1 and 700 hp","")</f>
        <v/>
      </c>
      <c r="Q11" s="26"/>
      <c r="R11" s="26"/>
      <c r="S11" s="26"/>
    </row>
    <row r="12" spans="1:19" x14ac:dyDescent="0.25">
      <c r="D12" s="26"/>
      <c r="E12" s="26"/>
      <c r="F12" s="26"/>
      <c r="G12" s="26"/>
      <c r="H12" s="26"/>
      <c r="I12" s="26"/>
      <c r="J12" s="26"/>
      <c r="K12" s="26"/>
      <c r="L12" s="26"/>
      <c r="M12" s="26"/>
      <c r="N12" s="26"/>
      <c r="O12" s="26"/>
      <c r="P12" s="26"/>
      <c r="Q12" s="26"/>
      <c r="R12" s="26"/>
      <c r="S12" s="26"/>
    </row>
    <row r="13" spans="1:19" x14ac:dyDescent="0.25">
      <c r="A13" s="59"/>
      <c r="B13" s="4"/>
      <c r="C13" s="4"/>
      <c r="D13" s="28"/>
      <c r="E13" s="29">
        <f>IF(B13&lt;=0,0,-0.316+0.24015*LN(B13)-0.01199*(LN(B13))^2)</f>
        <v>0</v>
      </c>
      <c r="F13" s="29">
        <f>IF(B13=0,0,(B13*C13*D13)/(33000*E13))</f>
        <v>0</v>
      </c>
      <c r="G13" s="29">
        <f>IF(F13=0,0,0.8+0.0319*LN(F13)-0.00182*(LN(F13))^2)</f>
        <v>0</v>
      </c>
      <c r="H13" s="29">
        <f>IF(F13=0,0,F13/G13)</f>
        <v>0</v>
      </c>
      <c r="I13" s="30">
        <f>IF(AND(H13=0,H26=0),0,IF(H13=0,EXP(5.9332+0.16829*LN(H26)-0.110056*(LN(H26))^2+0.071413*(LN(H26))^3-0.0063788*(LN(H26))^4),IF(H26=0,EXP(5.9332+0.16829*LN(H13)-0.110056*(LN(H13))^2+0.071413*(LN(H13))^3-0.0063788*(LN(H13))^4))))</f>
        <v>0</v>
      </c>
      <c r="J13" s="31"/>
      <c r="K13" s="29">
        <f ca="1">_xlfn.SHEETS('Summary Page'!$B$19)</f>
        <v>1</v>
      </c>
      <c r="L13" s="30">
        <f ca="1">J13*I13*K13</f>
        <v>0</v>
      </c>
      <c r="M13" s="30">
        <f ca="1">($E$2/567)*L13</f>
        <v>0</v>
      </c>
      <c r="N13" s="32">
        <f ca="1">M13*B2</f>
        <v>0</v>
      </c>
      <c r="O13" s="26">
        <f>IF(F13&lt;&gt;0,IF(AND(H13&gt;=1,H13&lt;=700),0,1),IF(B26&lt;&gt;0,IF(AND(H26&gt;=1,H26&lt;=700),0,1),0))</f>
        <v>0</v>
      </c>
      <c r="P13" s="64" t="str">
        <f>IF(O13&gt;0,"Warning - extrapolation in cost estimate, Pc must be between 1 and 700 hp","")</f>
        <v/>
      </c>
      <c r="Q13" s="26"/>
      <c r="R13" s="26"/>
      <c r="S13" s="26"/>
    </row>
    <row r="14" spans="1:19" s="3" customFormat="1" x14ac:dyDescent="0.25">
      <c r="A14"/>
      <c r="B14"/>
      <c r="C14"/>
      <c r="D14" s="26"/>
      <c r="E14" s="26"/>
      <c r="F14" s="26"/>
      <c r="G14" s="26"/>
      <c r="H14" s="26"/>
      <c r="I14" s="26"/>
      <c r="J14" s="26"/>
      <c r="K14" s="26"/>
      <c r="L14" s="26"/>
      <c r="M14" s="26"/>
      <c r="N14" s="26"/>
      <c r="O14" s="27"/>
      <c r="P14" s="27"/>
      <c r="Q14" s="27"/>
      <c r="R14" s="27"/>
      <c r="S14" s="27"/>
    </row>
    <row r="15" spans="1:19" x14ac:dyDescent="0.25">
      <c r="A15" s="59"/>
      <c r="B15" s="4"/>
      <c r="C15" s="4"/>
      <c r="D15" s="28"/>
      <c r="E15" s="29">
        <f>IF(B15&lt;=0,0,-0.316+0.24015*LN(B15)-0.01199*(LN(B15))^2)</f>
        <v>0</v>
      </c>
      <c r="F15" s="29">
        <f>IF(B15=0,0,(B15*C15*D15)/(33000*E15))</f>
        <v>0</v>
      </c>
      <c r="G15" s="29">
        <f>IF(F15=0,0,0.8+0.0319*LN(F15)-0.00182*(LN(F15))^2)</f>
        <v>0</v>
      </c>
      <c r="H15" s="29">
        <f>IF(F15=0,0,F15/G15)</f>
        <v>0</v>
      </c>
      <c r="I15" s="30">
        <f>IF(AND(H15=0,H28=0),0,IF(H15=0,EXP(5.9332+0.16829*LN(H28)-0.110056*(LN(H28))^2+0.071413*(LN(H28))^3-0.0063788*(LN(H28))^4),IF(H28=0,EXP(5.9332+0.16829*LN(H15)-0.110056*(LN(H15))^2+0.071413*(LN(H15))^3-0.0063788*(LN(H15))^4))))</f>
        <v>0</v>
      </c>
      <c r="J15" s="31"/>
      <c r="K15" s="29">
        <f ca="1">_xlfn.SHEETS('Summary Page'!$B$19)</f>
        <v>1</v>
      </c>
      <c r="L15" s="30">
        <f ca="1">J15*I15*K15</f>
        <v>0</v>
      </c>
      <c r="M15" s="30">
        <f ca="1">($E$2/567)*L15</f>
        <v>0</v>
      </c>
      <c r="N15" s="32">
        <f ca="1">M15*B2</f>
        <v>0</v>
      </c>
      <c r="O15" s="26">
        <f>IF(F15&lt;&gt;0,IF(AND(H15&gt;=1,H15&lt;=700),0,1),IF(B28&lt;&gt;0,IF(AND(H28&gt;=1,H28&lt;=700),0,1),0))</f>
        <v>0</v>
      </c>
      <c r="P15" s="64" t="str">
        <f>IF(O15&gt;0,"Warning - extrapolation in cost estimate, Pc must be between 1 and 700 hp","")</f>
        <v/>
      </c>
      <c r="Q15" s="26"/>
      <c r="R15" s="26"/>
      <c r="S15" s="26"/>
    </row>
    <row r="16" spans="1:19" x14ac:dyDescent="0.25">
      <c r="D16" s="26"/>
      <c r="E16" s="26"/>
      <c r="F16" s="26"/>
      <c r="G16" s="26"/>
      <c r="H16" s="26"/>
      <c r="I16" s="26"/>
      <c r="J16" s="26"/>
      <c r="K16" s="26"/>
      <c r="L16" s="26"/>
      <c r="M16" s="26"/>
      <c r="N16" s="26"/>
      <c r="O16" s="26"/>
      <c r="P16" s="26"/>
      <c r="Q16" s="26"/>
      <c r="R16" s="26"/>
      <c r="S16" s="26"/>
    </row>
    <row r="17" spans="1:19" x14ac:dyDescent="0.25">
      <c r="A17" t="s">
        <v>24</v>
      </c>
      <c r="D17" s="26"/>
      <c r="E17" s="26"/>
      <c r="F17" s="26"/>
      <c r="G17" s="26"/>
      <c r="H17" s="26"/>
      <c r="I17" s="27"/>
      <c r="J17" s="27"/>
      <c r="K17" s="27"/>
      <c r="L17" s="27"/>
      <c r="M17" s="27"/>
      <c r="N17" s="27"/>
      <c r="O17" s="26"/>
      <c r="P17" s="26"/>
      <c r="Q17" s="26"/>
      <c r="R17" s="26"/>
      <c r="S17" s="26"/>
    </row>
    <row r="18" spans="1:19" x14ac:dyDescent="0.25">
      <c r="A18" t="s">
        <v>190</v>
      </c>
      <c r="B18" t="s">
        <v>18</v>
      </c>
      <c r="C18" t="s">
        <v>22</v>
      </c>
      <c r="D18" s="26"/>
      <c r="E18" s="26"/>
      <c r="F18" s="26"/>
      <c r="G18" s="26"/>
      <c r="H18" s="26" t="s">
        <v>46</v>
      </c>
      <c r="I18" s="26"/>
      <c r="J18" s="26"/>
      <c r="K18" s="26"/>
      <c r="L18" s="26"/>
      <c r="M18" s="26"/>
      <c r="N18" s="26"/>
      <c r="O18" s="26"/>
      <c r="P18" s="26"/>
      <c r="Q18" s="26"/>
      <c r="R18" s="26"/>
      <c r="S18" s="26"/>
    </row>
    <row r="19" spans="1:19" s="3" customFormat="1" x14ac:dyDescent="0.25">
      <c r="B19" s="3" t="s">
        <v>6</v>
      </c>
      <c r="D19" s="27"/>
      <c r="E19" s="27"/>
      <c r="F19" s="27"/>
      <c r="G19" s="27"/>
      <c r="H19" s="27" t="s">
        <v>6</v>
      </c>
      <c r="I19" s="26"/>
      <c r="J19" s="26"/>
      <c r="K19" s="26"/>
      <c r="L19" s="26"/>
      <c r="M19" s="26"/>
      <c r="N19" s="26"/>
      <c r="O19" s="27"/>
      <c r="P19" s="27"/>
      <c r="Q19" s="27"/>
      <c r="R19" s="27"/>
      <c r="S19" s="27"/>
    </row>
    <row r="20" spans="1:19" x14ac:dyDescent="0.25">
      <c r="A20" t="str">
        <f>IF(A7&lt;&gt;"",A7,"")</f>
        <v/>
      </c>
      <c r="B20" s="4"/>
      <c r="C20">
        <f>IF(B20=0,0,0.8+0.0319*LN(B20)-0.00182*(LN(B20))^2)</f>
        <v>0</v>
      </c>
      <c r="D20" s="26"/>
      <c r="E20" s="26"/>
      <c r="F20" s="26"/>
      <c r="G20" s="26"/>
      <c r="H20" s="29">
        <f>IF(B20=0,0,B20/C20)</f>
        <v>0</v>
      </c>
      <c r="I20" s="26"/>
      <c r="J20" s="26"/>
      <c r="K20" s="26"/>
      <c r="L20" s="27"/>
      <c r="M20" s="27"/>
      <c r="N20" s="27"/>
      <c r="O20" s="26"/>
      <c r="P20" s="26"/>
      <c r="Q20" s="26"/>
      <c r="R20" s="26"/>
      <c r="S20" s="26"/>
    </row>
    <row r="21" spans="1:19" x14ac:dyDescent="0.25">
      <c r="D21" s="26"/>
      <c r="E21" s="26"/>
      <c r="F21" s="26"/>
      <c r="G21" s="26"/>
      <c r="H21" s="26"/>
      <c r="I21" s="26"/>
      <c r="J21" s="26"/>
      <c r="K21" s="26"/>
      <c r="L21" s="26"/>
      <c r="M21" s="26"/>
      <c r="N21" s="26"/>
      <c r="O21" s="26"/>
      <c r="P21" s="26"/>
      <c r="Q21" s="26"/>
      <c r="R21" s="26"/>
      <c r="S21" s="26"/>
    </row>
    <row r="22" spans="1:19" x14ac:dyDescent="0.25">
      <c r="A22" t="str">
        <f>IF(A9&lt;&gt;"",A9,"")</f>
        <v/>
      </c>
      <c r="B22" s="4"/>
      <c r="C22">
        <f>IF(B22=0,0,0.8+0.0319*LN(B22)-0.00182*(LN(B22))^2)</f>
        <v>0</v>
      </c>
      <c r="D22" s="26"/>
      <c r="E22" s="26"/>
      <c r="F22" s="26"/>
      <c r="G22" s="26"/>
      <c r="H22" s="29">
        <f>IF(B22=0,0,B22/C22)</f>
        <v>0</v>
      </c>
      <c r="I22" s="27"/>
      <c r="J22" s="27"/>
      <c r="K22" s="27"/>
      <c r="L22" s="27"/>
      <c r="M22" s="27"/>
      <c r="N22" s="27"/>
      <c r="O22" s="26"/>
      <c r="P22" s="26"/>
      <c r="Q22" s="26"/>
      <c r="R22" s="26"/>
      <c r="S22" s="26"/>
    </row>
    <row r="23" spans="1:19" x14ac:dyDescent="0.25">
      <c r="A23" s="3"/>
      <c r="D23" s="26"/>
      <c r="E23" s="26"/>
      <c r="F23" s="26"/>
      <c r="G23" s="26"/>
      <c r="H23" s="26"/>
      <c r="I23" s="26"/>
      <c r="J23" s="26"/>
      <c r="K23" s="26"/>
      <c r="L23" s="26"/>
      <c r="M23" s="26"/>
      <c r="N23" s="26"/>
      <c r="O23" s="26"/>
      <c r="P23" s="26"/>
      <c r="Q23" s="26"/>
      <c r="R23" s="26"/>
      <c r="S23" s="26"/>
    </row>
    <row r="24" spans="1:19" x14ac:dyDescent="0.25">
      <c r="A24" t="str">
        <f>IF(A11&lt;&gt;"",A11,"")</f>
        <v/>
      </c>
      <c r="B24" s="4"/>
      <c r="C24">
        <f>IF(B24=0,0,0.8+0.0319*LN(B24)-0.00182*(LN(B24))^2)</f>
        <v>0</v>
      </c>
      <c r="D24" s="26"/>
      <c r="E24" s="26"/>
      <c r="F24" s="26"/>
      <c r="G24" s="26"/>
      <c r="H24" s="29">
        <f>IF(B24=0,0,B24/C24)</f>
        <v>0</v>
      </c>
      <c r="I24" s="26"/>
      <c r="J24" s="26"/>
      <c r="K24" s="26"/>
      <c r="L24" s="26"/>
      <c r="M24" s="26"/>
      <c r="N24" s="26"/>
      <c r="O24" s="26"/>
      <c r="P24" s="26"/>
      <c r="Q24" s="26"/>
      <c r="R24" s="26"/>
      <c r="S24" s="26"/>
    </row>
    <row r="25" spans="1:19" x14ac:dyDescent="0.25">
      <c r="D25" s="26"/>
      <c r="E25" s="26"/>
      <c r="F25" s="26"/>
      <c r="G25" s="26"/>
      <c r="H25" s="26"/>
      <c r="I25" s="26"/>
      <c r="J25" s="26"/>
      <c r="K25" s="26"/>
      <c r="L25" s="26"/>
      <c r="M25" s="26"/>
      <c r="N25" s="26"/>
      <c r="O25" s="26"/>
      <c r="P25" s="26"/>
      <c r="Q25" s="26"/>
      <c r="R25" s="26"/>
      <c r="S25" s="26"/>
    </row>
    <row r="26" spans="1:19" x14ac:dyDescent="0.25">
      <c r="A26" t="str">
        <f>IF(A13&lt;&gt;"",A13,"")</f>
        <v/>
      </c>
      <c r="B26" s="4"/>
      <c r="C26">
        <f>IF(B26=0,0,0.8+0.0319*LN(B26)-0.00182*(LN(B26))^2)</f>
        <v>0</v>
      </c>
      <c r="D26" s="26"/>
      <c r="E26" s="26"/>
      <c r="F26" s="26"/>
      <c r="G26" s="26"/>
      <c r="H26" s="29">
        <f>IF(B26=0,0,B26/C26)</f>
        <v>0</v>
      </c>
      <c r="I26" s="27"/>
      <c r="J26" s="27"/>
      <c r="K26" s="27"/>
      <c r="L26" s="27"/>
      <c r="M26" s="27"/>
      <c r="N26" s="27"/>
      <c r="O26" s="26"/>
      <c r="P26" s="26"/>
      <c r="Q26" s="26"/>
      <c r="R26" s="26"/>
      <c r="S26" s="26"/>
    </row>
    <row r="27" spans="1:19" x14ac:dyDescent="0.25">
      <c r="D27" s="26"/>
      <c r="E27" s="26"/>
      <c r="F27" s="26"/>
      <c r="G27" s="26"/>
      <c r="H27" s="26"/>
      <c r="I27" s="26"/>
      <c r="J27" s="26"/>
      <c r="K27" s="26"/>
      <c r="L27" s="26"/>
      <c r="M27" s="26"/>
      <c r="N27" s="26"/>
      <c r="O27" s="26"/>
      <c r="P27" s="26"/>
      <c r="Q27" s="26"/>
      <c r="R27" s="26"/>
      <c r="S27" s="26"/>
    </row>
    <row r="28" spans="1:19" x14ac:dyDescent="0.25">
      <c r="A28" t="str">
        <f>IF(A15&lt;&gt;"",A15,"")</f>
        <v/>
      </c>
      <c r="B28" s="4"/>
      <c r="C28">
        <f>IF(B28=0,0,0.8+0.0319*LN(B28)-0.00182*(LN(B28))^2)</f>
        <v>0</v>
      </c>
      <c r="D28" s="26"/>
      <c r="E28" s="26"/>
      <c r="F28" s="26"/>
      <c r="G28" s="26"/>
      <c r="H28" s="29">
        <f>IF(B28=0,0,B28/C28)</f>
        <v>0</v>
      </c>
      <c r="I28" s="26"/>
      <c r="J28" s="26"/>
      <c r="K28" s="26"/>
      <c r="L28" s="26"/>
      <c r="M28" s="26"/>
      <c r="N28" s="26"/>
      <c r="O28" s="26"/>
      <c r="P28" s="26"/>
      <c r="Q28" s="26"/>
      <c r="R28" s="26"/>
      <c r="S28" s="26"/>
    </row>
    <row r="29" spans="1:19" x14ac:dyDescent="0.25">
      <c r="D29" s="26"/>
      <c r="E29" s="26"/>
      <c r="F29" s="26"/>
      <c r="G29" s="26"/>
      <c r="H29" s="26"/>
      <c r="I29" s="26"/>
      <c r="J29" s="26"/>
      <c r="K29" s="26"/>
      <c r="L29" s="27"/>
      <c r="M29" s="27"/>
      <c r="N29" s="27"/>
      <c r="O29" s="26"/>
      <c r="P29" s="26"/>
      <c r="Q29" s="26"/>
      <c r="R29" s="26"/>
      <c r="S29" s="26"/>
    </row>
    <row r="30" spans="1:19" x14ac:dyDescent="0.25">
      <c r="D30" s="26"/>
      <c r="E30" s="26"/>
      <c r="F30" s="26"/>
      <c r="G30" s="26"/>
      <c r="H30" s="26"/>
      <c r="I30" s="26"/>
      <c r="J30" s="26"/>
      <c r="K30" s="26"/>
      <c r="L30" s="26"/>
      <c r="M30" s="26"/>
      <c r="N30" s="26"/>
      <c r="O30" s="26"/>
      <c r="P30" s="26"/>
      <c r="Q30" s="26"/>
      <c r="R30" s="26"/>
      <c r="S30" s="26"/>
    </row>
    <row r="31" spans="1:19" x14ac:dyDescent="0.25">
      <c r="B31" s="3"/>
      <c r="C31" s="3"/>
      <c r="D31" s="27"/>
      <c r="E31" s="27"/>
      <c r="F31" s="27"/>
      <c r="G31" s="27"/>
      <c r="H31" s="27"/>
      <c r="I31" s="27"/>
      <c r="J31" s="27"/>
      <c r="K31" s="27"/>
      <c r="L31" s="27"/>
      <c r="M31" s="27"/>
      <c r="N31" s="27"/>
      <c r="O31" s="26"/>
      <c r="P31" s="26"/>
      <c r="Q31" s="26"/>
      <c r="R31" s="26"/>
      <c r="S31" s="26"/>
    </row>
    <row r="32" spans="1:19" x14ac:dyDescent="0.25">
      <c r="D32" s="26"/>
      <c r="E32" s="26"/>
      <c r="F32" s="26"/>
      <c r="G32" s="26"/>
      <c r="H32" s="26"/>
      <c r="I32" s="26"/>
      <c r="J32" s="26"/>
      <c r="K32" s="26"/>
      <c r="L32" s="26"/>
      <c r="M32" s="26"/>
      <c r="N32" s="26"/>
      <c r="O32" s="26"/>
      <c r="P32" s="26"/>
      <c r="Q32" s="26"/>
      <c r="R32" s="26"/>
      <c r="S32" s="26"/>
    </row>
    <row r="33" spans="1:19" x14ac:dyDescent="0.25">
      <c r="A33" s="3"/>
      <c r="D33" s="26"/>
      <c r="E33" s="26"/>
      <c r="F33" s="26"/>
      <c r="G33" s="26"/>
      <c r="H33" s="26"/>
      <c r="I33" s="26"/>
      <c r="J33" s="26"/>
      <c r="K33" s="26"/>
      <c r="L33" s="26"/>
      <c r="M33" s="26"/>
      <c r="N33" s="26"/>
      <c r="O33" s="26"/>
      <c r="P33" s="26"/>
      <c r="Q33" s="26"/>
      <c r="R33" s="26"/>
      <c r="S33" s="26"/>
    </row>
    <row r="34" spans="1:19" x14ac:dyDescent="0.25">
      <c r="D34" s="26"/>
      <c r="E34" s="26"/>
      <c r="F34" s="26"/>
      <c r="G34" s="26"/>
      <c r="H34" s="26"/>
      <c r="I34" s="26"/>
      <c r="J34" s="26"/>
      <c r="K34" s="26"/>
      <c r="L34" s="26"/>
      <c r="M34" s="26"/>
      <c r="N34" s="26"/>
      <c r="O34" s="26"/>
      <c r="P34" s="26"/>
      <c r="Q34" s="26"/>
      <c r="R34" s="26"/>
      <c r="S34" s="26"/>
    </row>
    <row r="35" spans="1:19" x14ac:dyDescent="0.25">
      <c r="B35" s="3"/>
      <c r="C35" s="3"/>
      <c r="D35" s="3"/>
      <c r="E35" s="3"/>
      <c r="F35" s="3"/>
      <c r="G35" s="3"/>
      <c r="H35" s="3"/>
      <c r="I35" s="3"/>
      <c r="J35" s="3"/>
      <c r="K35" s="3"/>
      <c r="L35" s="3"/>
      <c r="M35" s="3"/>
      <c r="N35" s="3"/>
    </row>
    <row r="37" spans="1:19" x14ac:dyDescent="0.25">
      <c r="A37" s="3"/>
    </row>
    <row r="38" spans="1:19" x14ac:dyDescent="0.25">
      <c r="L38" s="3"/>
      <c r="M38" s="3"/>
      <c r="N38" s="3"/>
    </row>
    <row r="40" spans="1:19" x14ac:dyDescent="0.25">
      <c r="B40" s="3"/>
      <c r="C40" s="3"/>
      <c r="D40" s="3"/>
      <c r="E40" s="3"/>
      <c r="F40" s="3"/>
      <c r="G40" s="3"/>
      <c r="H40" s="3"/>
      <c r="I40" s="3"/>
      <c r="J40" s="3"/>
      <c r="K40" s="3"/>
      <c r="L40" s="3"/>
      <c r="M40" s="3"/>
      <c r="N40" s="3"/>
    </row>
    <row r="42" spans="1:19" x14ac:dyDescent="0.25">
      <c r="A42" s="3"/>
    </row>
    <row r="44" spans="1:19" x14ac:dyDescent="0.25">
      <c r="B44" s="3"/>
      <c r="C44" s="3"/>
      <c r="D44" s="3"/>
      <c r="E44" s="3"/>
      <c r="F44" s="3"/>
      <c r="G44" s="3"/>
      <c r="H44" s="3"/>
      <c r="I44" s="3"/>
      <c r="J44" s="3"/>
      <c r="K44" s="3"/>
      <c r="L44" s="3"/>
      <c r="M44" s="3"/>
      <c r="N44" s="3"/>
    </row>
    <row r="46" spans="1:19" x14ac:dyDescent="0.25">
      <c r="A46" s="3"/>
    </row>
    <row r="47" spans="1:19" x14ac:dyDescent="0.25">
      <c r="L47" s="3"/>
      <c r="M47" s="3"/>
      <c r="N47" s="3"/>
    </row>
    <row r="49" spans="2:14" x14ac:dyDescent="0.25">
      <c r="B49" s="3"/>
      <c r="C49" s="3"/>
      <c r="D49" s="3"/>
      <c r="E49" s="3"/>
      <c r="F49" s="3"/>
      <c r="G49" s="3"/>
      <c r="H49" s="3"/>
      <c r="I49" s="3"/>
      <c r="J49" s="3"/>
      <c r="K49" s="3"/>
      <c r="L49" s="3"/>
      <c r="M49" s="3"/>
      <c r="N49" s="3"/>
    </row>
    <row r="52" spans="2:14" x14ac:dyDescent="0.25">
      <c r="B52" t="s">
        <v>18</v>
      </c>
      <c r="C52" t="s">
        <v>22</v>
      </c>
      <c r="H52" t="s">
        <v>25</v>
      </c>
    </row>
    <row r="53" spans="2:14" x14ac:dyDescent="0.25">
      <c r="B53" s="3" t="s">
        <v>6</v>
      </c>
      <c r="C53" s="3"/>
      <c r="D53" s="3"/>
      <c r="E53" s="3"/>
      <c r="F53" s="3"/>
      <c r="G53" s="3"/>
      <c r="H53" s="3" t="s">
        <v>6</v>
      </c>
      <c r="I53" s="3"/>
      <c r="J53" s="3"/>
      <c r="K53" s="3"/>
      <c r="L53" s="3"/>
      <c r="M53" s="3"/>
      <c r="N53" s="3"/>
    </row>
  </sheetData>
  <sheetProtection algorithmName="SHA-512" hashValue="oL3353YbVRBO4Son7uQ0AJg/yRJqVZpbH7g2WloxrA8UHyeccr/Ze9iQME106hSIXkqF/SCYzqIkEQffMJ3bFg==" saltValue="TTqS6vnw58OVqCKk17mTLg==" spinCount="100000" sheet="1" objects="1" scenarios="1"/>
  <phoneticPr fontId="4" type="noConversion"/>
  <hyperlinks>
    <hyperlink ref="I1" location="'Summary Page'!A1" display="Summary page" xr:uid="{00000000-0004-0000-0100-000000000000}"/>
  </hyperlinks>
  <pageMargins left="0.75" right="0.75" top="1" bottom="1" header="0.5" footer="0.5"/>
  <pageSetup orientation="portrait" horizontalDpi="4294967292" verticalDpi="4294967292" r:id="rId1"/>
  <headerFooter>
    <oddHeader>&amp;C&amp;"Calibri"&amp;10&amp;K000000 Public&amp;1#_x000D_</oddHeader>
    <oddFooter>&amp;C_x000D_&amp;1#&amp;"Calibri"&amp;10&amp;K000000 Public</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Q28"/>
  <sheetViews>
    <sheetView workbookViewId="0">
      <selection activeCell="J23" sqref="J23"/>
    </sheetView>
  </sheetViews>
  <sheetFormatPr defaultColWidth="11" defaultRowHeight="15.75" x14ac:dyDescent="0.25"/>
  <cols>
    <col min="1" max="7" width="11" style="26"/>
    <col min="8" max="8" width="12.875" style="26" bestFit="1" customWidth="1"/>
    <col min="9" max="11" width="11" style="26"/>
    <col min="12" max="12" width="0" style="26" hidden="1" customWidth="1"/>
    <col min="13" max="15" width="11" style="26"/>
    <col min="16" max="16" width="0.125" style="26" customWidth="1"/>
    <col min="17" max="16384" width="11" style="26"/>
  </cols>
  <sheetData>
    <row r="1" spans="1:17" x14ac:dyDescent="0.25">
      <c r="A1" s="52" t="s">
        <v>31</v>
      </c>
      <c r="I1" s="34" t="s">
        <v>158</v>
      </c>
    </row>
    <row r="2" spans="1:17" x14ac:dyDescent="0.25">
      <c r="A2" s="33"/>
      <c r="I2" s="34"/>
    </row>
    <row r="3" spans="1:17" x14ac:dyDescent="0.25">
      <c r="B3" s="26" t="s">
        <v>138</v>
      </c>
      <c r="C3" s="26">
        <v>2.15</v>
      </c>
      <c r="E3" s="26" t="s">
        <v>137</v>
      </c>
      <c r="F3" s="26">
        <f>'Summary Page'!B19</f>
        <v>800</v>
      </c>
      <c r="I3" s="36"/>
    </row>
    <row r="5" spans="1:17" x14ac:dyDescent="0.25">
      <c r="A5" s="26" t="s">
        <v>190</v>
      </c>
      <c r="B5" s="26" t="s">
        <v>32</v>
      </c>
      <c r="C5" s="26" t="s">
        <v>34</v>
      </c>
      <c r="D5" s="26" t="s">
        <v>35</v>
      </c>
      <c r="E5" s="26" t="s">
        <v>38</v>
      </c>
      <c r="F5" s="26" t="s">
        <v>37</v>
      </c>
      <c r="G5" s="26" t="s">
        <v>18</v>
      </c>
      <c r="H5" s="26" t="s">
        <v>22</v>
      </c>
      <c r="I5" s="26" t="s">
        <v>46</v>
      </c>
      <c r="J5" s="26" t="s">
        <v>8</v>
      </c>
      <c r="K5" s="26" t="s">
        <v>10</v>
      </c>
      <c r="M5" s="26" t="s">
        <v>11</v>
      </c>
      <c r="N5" s="26" t="s">
        <v>11</v>
      </c>
      <c r="O5" s="26" t="s">
        <v>14</v>
      </c>
      <c r="P5" s="66" t="s">
        <v>213</v>
      </c>
    </row>
    <row r="6" spans="1:17" s="27" customFormat="1" x14ac:dyDescent="0.25">
      <c r="B6" s="27" t="s">
        <v>33</v>
      </c>
      <c r="C6" s="27" t="s">
        <v>36</v>
      </c>
      <c r="D6" s="27" t="s">
        <v>36</v>
      </c>
      <c r="G6" s="27" t="s">
        <v>39</v>
      </c>
      <c r="I6" s="27" t="s">
        <v>39</v>
      </c>
      <c r="J6" s="27" t="s">
        <v>135</v>
      </c>
      <c r="K6" s="27" t="s">
        <v>29</v>
      </c>
      <c r="M6" s="27" t="s">
        <v>135</v>
      </c>
      <c r="N6" s="27" t="s">
        <v>13</v>
      </c>
      <c r="O6" s="27" t="s">
        <v>13</v>
      </c>
    </row>
    <row r="7" spans="1:17" x14ac:dyDescent="0.25">
      <c r="A7" s="61" t="s">
        <v>254</v>
      </c>
      <c r="B7" s="28">
        <v>878.20513000000005</v>
      </c>
      <c r="C7" s="28">
        <v>217.55699999999999</v>
      </c>
      <c r="D7" s="28">
        <v>983.22799999999995</v>
      </c>
      <c r="E7" s="28">
        <v>1.4</v>
      </c>
      <c r="F7" s="26">
        <v>0.75</v>
      </c>
      <c r="G7" s="29">
        <f>IF(B7=0,0,0.00436*(E7/(E7-1))*(B7*C7/F7)*((D7/C7)^((E7-1)/E7)-1))</f>
        <v>2094.3237982727433</v>
      </c>
      <c r="H7" s="42">
        <f>IF(G7=0,0,0.8+0.0319*LN(G7)-0.00182*(LN(G7))^2)</f>
        <v>0.93751181475521017</v>
      </c>
      <c r="I7" s="43">
        <f>IF(G7=0,0,G7/H7)</f>
        <v>2233.9172320933185</v>
      </c>
      <c r="J7" s="30">
        <f>IF(AND(B20=0,I7=0),0,IF(B20=0,EXP(7.0187+0.79*LN(I7)),EXP(7.0187+0.79*LN(B20))))</f>
        <v>586558.02620977419</v>
      </c>
      <c r="K7" s="28">
        <v>2.5</v>
      </c>
      <c r="L7" s="26">
        <f ca="1">_xlfn.SHEETS('Summary Page'!$B$19)</f>
        <v>1</v>
      </c>
      <c r="M7" s="30">
        <f ca="1">J7*K7*L7</f>
        <v>1466395.0655244356</v>
      </c>
      <c r="N7" s="30">
        <f ca="1">($F$3/567)*M7</f>
        <v>2068987.7467716904</v>
      </c>
      <c r="O7" s="32">
        <f ca="1">N7*$C$3</f>
        <v>4448323.6555591347</v>
      </c>
      <c r="P7" s="26">
        <f>IF(I7&lt;&gt;0,IF(AND(I7&gt;=5,I7&lt;=1000),0,1),IF(B20&lt;&gt;0,IF(AND(B20&gt;=5,B20&lt;=1000),0,1),0))</f>
        <v>1</v>
      </c>
      <c r="Q7" s="64" t="str">
        <f>IF(P7&gt;0,"Warning - extrapolation in cost estimate, Pc must be between 5 and 1000","")</f>
        <v>Warning - extrapolation in cost estimate, Pc must be between 5 and 1000</v>
      </c>
    </row>
    <row r="8" spans="1:17" x14ac:dyDescent="0.25">
      <c r="A8" s="38"/>
    </row>
    <row r="9" spans="1:17" x14ac:dyDescent="0.25">
      <c r="A9" s="61"/>
      <c r="B9" s="28"/>
      <c r="C9" s="28"/>
      <c r="D9" s="28"/>
      <c r="E9" s="28"/>
      <c r="F9" s="26">
        <v>0.75</v>
      </c>
      <c r="G9" s="29">
        <f>IF(B9=0,0,0.00436*(E9/(E9-1))*(B9*C9/F9)*((D9/C9)^((E9-1)/E9)-1))</f>
        <v>0</v>
      </c>
      <c r="H9" s="42">
        <f>IF(G9=0,0,0.8+0.0319*LN(G9)-0.00182*(LN(G9))^2)</f>
        <v>0</v>
      </c>
      <c r="I9" s="43">
        <f>IF(G9=0,0,G9/H9)</f>
        <v>0</v>
      </c>
      <c r="J9" s="30">
        <f>IF(AND(B22=0,I9=0),0,IF(B22=0,EXP(7.0187+0.79*LN(I9)),EXP(7.0187+0.79*LN(B22))))</f>
        <v>0</v>
      </c>
      <c r="K9" s="28"/>
      <c r="L9" s="26">
        <f ca="1">_xlfn.SHEETS('Summary Page'!$B$19)</f>
        <v>1</v>
      </c>
      <c r="M9" s="30">
        <f ca="1">J9*K9*L9</f>
        <v>0</v>
      </c>
      <c r="N9" s="30">
        <f ca="1">($F$3/567)*M9</f>
        <v>0</v>
      </c>
      <c r="O9" s="32">
        <f ca="1">N9*$C$3</f>
        <v>0</v>
      </c>
      <c r="P9" s="26">
        <f>IF(I9&lt;&gt;0,IF(AND(I9&gt;=5,I9&lt;=1000),0,1),IF(B22&lt;&gt;0,IF(AND(B22&gt;=5,B22&lt;=1000),0,1),0))</f>
        <v>0</v>
      </c>
      <c r="Q9" s="64" t="str">
        <f>IF(P9&gt;0,"Warning - extrapolation in cost estimate, Pc must be between 5 and 1000","")</f>
        <v/>
      </c>
    </row>
    <row r="10" spans="1:17" x14ac:dyDescent="0.25">
      <c r="A10" s="38"/>
    </row>
    <row r="11" spans="1:17" x14ac:dyDescent="0.25">
      <c r="A11" s="61"/>
      <c r="B11" s="28"/>
      <c r="C11" s="28"/>
      <c r="D11" s="28"/>
      <c r="E11" s="28"/>
      <c r="F11" s="26">
        <v>0.75</v>
      </c>
      <c r="G11" s="29">
        <f>IF(B11=0,0,0.00436*(E11/(E11-1))*(B11*C11/F11)*((D11/C11)^((E11-1)/E11)-1))</f>
        <v>0</v>
      </c>
      <c r="H11" s="42">
        <f>IF(G11=0,0,0.8+0.0319*LN(G11)-0.00182*(LN(G11))^2)</f>
        <v>0</v>
      </c>
      <c r="I11" s="43">
        <f>IF(G11=0,0,G11/H11)</f>
        <v>0</v>
      </c>
      <c r="J11" s="30">
        <f>IF(AND(B24=0,I11=0),0,IF(B24=0,EXP(7.0187+0.79*LN(I11)),EXP(7.0187+0.79*LN(B24))))</f>
        <v>0</v>
      </c>
      <c r="K11" s="28"/>
      <c r="L11" s="26">
        <f ca="1">_xlfn.SHEETS('Summary Page'!$B$19)</f>
        <v>1</v>
      </c>
      <c r="M11" s="30">
        <f ca="1">J11*K11*L11</f>
        <v>0</v>
      </c>
      <c r="N11" s="30">
        <f ca="1">($F$3/567)*M11</f>
        <v>0</v>
      </c>
      <c r="O11" s="32">
        <f ca="1">N11*$C$3</f>
        <v>0</v>
      </c>
      <c r="P11" s="26">
        <f>IF(I11&lt;&gt;0,IF(AND(I11&gt;=5,I11&lt;=1000),0,1),IF(B24&lt;&gt;0,IF(AND(B24&gt;=5,B24&lt;=1000),0,1),0))</f>
        <v>0</v>
      </c>
      <c r="Q11" s="64" t="str">
        <f>IF(P11&gt;0,"Warning - extrapolation in cost estimate, Pc must be between 5 and 1000","")</f>
        <v/>
      </c>
    </row>
    <row r="12" spans="1:17" x14ac:dyDescent="0.25">
      <c r="A12" s="38"/>
    </row>
    <row r="13" spans="1:17" x14ac:dyDescent="0.25">
      <c r="A13" s="61"/>
      <c r="B13" s="28"/>
      <c r="C13" s="28"/>
      <c r="D13" s="28"/>
      <c r="E13" s="28"/>
      <c r="F13" s="26">
        <v>0.75</v>
      </c>
      <c r="G13" s="29">
        <f>IF(B13=0,0,0.00436*(E13/(E13-1))*(B13*C13/F13)*((D13/C13)^((E13-1)/E13)-1))</f>
        <v>0</v>
      </c>
      <c r="H13" s="42">
        <f>IF(G13=0,0,0.8+0.0319*LN(G13)-0.00182*(LN(G13))^2)</f>
        <v>0</v>
      </c>
      <c r="I13" s="43">
        <f>IF(G13=0,0,G13/H13)</f>
        <v>0</v>
      </c>
      <c r="J13" s="30">
        <f>IF(AND(B26=0,I13=0),0,IF(B26=0,EXP(7.0187+0.79*LN(I13)),EXP(7.0187+0.79*LN(B26))))</f>
        <v>0</v>
      </c>
      <c r="K13" s="28"/>
      <c r="L13" s="26">
        <f ca="1">_xlfn.SHEETS('Summary Page'!$B$19)</f>
        <v>1</v>
      </c>
      <c r="M13" s="30">
        <f ca="1">J13*K13*L13</f>
        <v>0</v>
      </c>
      <c r="N13" s="30">
        <f ca="1">($F$3/567)*M13</f>
        <v>0</v>
      </c>
      <c r="O13" s="32">
        <f ca="1">N13*$C$3</f>
        <v>0</v>
      </c>
      <c r="P13" s="26">
        <f>IF(I13&lt;&gt;0,IF(AND(I13&gt;=5,I13&lt;=1000),0,1),IF(B26&lt;&gt;0,IF(AND(B26&gt;=5,B26&lt;=1000),0,1),0))</f>
        <v>0</v>
      </c>
      <c r="Q13" s="64" t="str">
        <f>IF(P13&gt;0,"Warning - extrapolation in cost estimate, Pc must be between 5 and 1000","")</f>
        <v/>
      </c>
    </row>
    <row r="14" spans="1:17" x14ac:dyDescent="0.25">
      <c r="A14" s="38"/>
    </row>
    <row r="15" spans="1:17" x14ac:dyDescent="0.25">
      <c r="A15" s="61"/>
      <c r="B15" s="28"/>
      <c r="C15" s="28"/>
      <c r="D15" s="28"/>
      <c r="E15" s="28"/>
      <c r="F15" s="26">
        <v>0.75</v>
      </c>
      <c r="G15" s="29">
        <f>IF(B15=0,0,0.00436*(E15/(E15-1))*(B15*C15/F15)*((D15/C15)^((E15-1)/E15)-1))</f>
        <v>0</v>
      </c>
      <c r="H15" s="42">
        <f>IF(G15=0,0,0.8+0.0319*LN(G15)-0.00182*(LN(G15))^2)</f>
        <v>0</v>
      </c>
      <c r="I15" s="43">
        <f>IF(G15=0,0,G15/H15)</f>
        <v>0</v>
      </c>
      <c r="J15" s="30">
        <f>IF(AND(B28=0,I15=0),0,IF(B28=0,EXP(7.0187+0.79*LN(I15)),EXP(7.0187+0.79*LN(B28))))</f>
        <v>0</v>
      </c>
      <c r="K15" s="28"/>
      <c r="L15" s="26">
        <f ca="1">_xlfn.SHEETS('Summary Page'!$B$19)</f>
        <v>1</v>
      </c>
      <c r="M15" s="30">
        <f ca="1">J15*K15*L15</f>
        <v>0</v>
      </c>
      <c r="N15" s="30">
        <f ca="1">($F$3/567)*M15</f>
        <v>0</v>
      </c>
      <c r="O15" s="32">
        <f ca="1">N15*$C$3</f>
        <v>0</v>
      </c>
      <c r="P15" s="26">
        <f>IF(I15&lt;&gt;0,IF(AND(I15&gt;=5,I15&lt;=1000),0,1),IF(B28&lt;&gt;0,IF(AND(B28&gt;=5,B28&lt;=1000),0,1),0))</f>
        <v>0</v>
      </c>
      <c r="Q15" s="64" t="str">
        <f>IF(P15&gt;0,"Warning - extrapolation in cost estimate, Pc must be between 5 and 1000","")</f>
        <v/>
      </c>
    </row>
    <row r="17" spans="1:13" x14ac:dyDescent="0.25">
      <c r="A17" s="26" t="s">
        <v>45</v>
      </c>
    </row>
    <row r="18" spans="1:13" x14ac:dyDescent="0.25">
      <c r="A18" s="26" t="s">
        <v>190</v>
      </c>
      <c r="B18" s="26" t="s">
        <v>46</v>
      </c>
      <c r="K18" s="10" t="s">
        <v>40</v>
      </c>
      <c r="L18" s="10"/>
    </row>
    <row r="19" spans="1:13" x14ac:dyDescent="0.25">
      <c r="B19" s="27" t="s">
        <v>39</v>
      </c>
      <c r="K19" s="26">
        <v>0.6</v>
      </c>
      <c r="M19" s="10" t="s">
        <v>41</v>
      </c>
    </row>
    <row r="20" spans="1:13" x14ac:dyDescent="0.25">
      <c r="A20" s="38" t="str">
        <f>IF(A7&lt;&gt;"",A7,"")</f>
        <v>Exp Turbine</v>
      </c>
      <c r="B20" s="28">
        <v>2774.6</v>
      </c>
      <c r="K20" s="43">
        <v>1</v>
      </c>
      <c r="L20" s="43"/>
      <c r="M20" s="10" t="s">
        <v>197</v>
      </c>
    </row>
    <row r="21" spans="1:13" x14ac:dyDescent="0.25">
      <c r="A21" s="38"/>
      <c r="K21" s="26">
        <v>1.8</v>
      </c>
      <c r="M21" s="10" t="s">
        <v>42</v>
      </c>
    </row>
    <row r="22" spans="1:13" x14ac:dyDescent="0.25">
      <c r="A22" s="38" t="str">
        <f>IF(A9&lt;&gt;"",A9,"")</f>
        <v/>
      </c>
      <c r="B22" s="28"/>
      <c r="K22" s="26">
        <v>2.5</v>
      </c>
      <c r="M22" s="10" t="s">
        <v>43</v>
      </c>
    </row>
    <row r="23" spans="1:13" x14ac:dyDescent="0.25">
      <c r="A23" s="38"/>
      <c r="K23" s="26">
        <v>5</v>
      </c>
      <c r="M23" s="10" t="s">
        <v>44</v>
      </c>
    </row>
    <row r="24" spans="1:13" x14ac:dyDescent="0.25">
      <c r="A24" s="38" t="str">
        <f>IF(A11&lt;&gt;"",A11,"")</f>
        <v/>
      </c>
      <c r="B24" s="28"/>
    </row>
    <row r="25" spans="1:13" x14ac:dyDescent="0.25">
      <c r="A25" s="38"/>
    </row>
    <row r="26" spans="1:13" x14ac:dyDescent="0.25">
      <c r="A26" s="38" t="str">
        <f>IF(A13&lt;&gt;"",A13,"")</f>
        <v/>
      </c>
      <c r="B26" s="28"/>
    </row>
    <row r="27" spans="1:13" x14ac:dyDescent="0.25">
      <c r="A27" s="38"/>
    </row>
    <row r="28" spans="1:13" x14ac:dyDescent="0.25">
      <c r="A28" s="38" t="str">
        <f>IF(A15&lt;&gt;"",A15,"")</f>
        <v/>
      </c>
      <c r="B28" s="28"/>
    </row>
  </sheetData>
  <sheetProtection algorithmName="SHA-512" hashValue="u/wiKRxNEcmIEhT6/p3BrpN5Lwt0++9vMLcST3xActcqR19Y5gfHGQhlh3AOfevtrCJpwcZcpH5LfLvSjMgvcw==" saltValue="DN5R+ZlScztUPv8ZA/nBRQ==" spinCount="100000" sheet="1" objects="1" scenarios="1"/>
  <phoneticPr fontId="4" type="noConversion"/>
  <hyperlinks>
    <hyperlink ref="I1" location="'Summary Page'!A1" display="Summary page" xr:uid="{00000000-0004-0000-0600-000000000000}"/>
  </hyperlinks>
  <pageMargins left="0.75" right="0.75" top="1" bottom="1" header="0.5" footer="0.5"/>
  <pageSetup orientation="portrait" horizontalDpi="4294967292" verticalDpi="4294967292"/>
  <headerFooter>
    <oddHeader>&amp;C&amp;"Calibri"&amp;10&amp;K000000 Public&amp;1#_x000D_</oddHeader>
    <oddFooter>&amp;C_x000D_&amp;1#&amp;"Calibri"&amp;10&amp;K000000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P37"/>
  <sheetViews>
    <sheetView zoomScale="89" zoomScaleNormal="90" workbookViewId="0"/>
  </sheetViews>
  <sheetFormatPr defaultColWidth="11" defaultRowHeight="15.75" x14ac:dyDescent="0.25"/>
  <cols>
    <col min="1" max="1" width="11" style="26"/>
    <col min="2" max="2" width="19.875" style="26" bestFit="1" customWidth="1"/>
    <col min="3" max="3" width="12" style="26" bestFit="1" customWidth="1"/>
    <col min="4" max="10" width="11" style="26"/>
    <col min="11" max="11" width="0" style="26" hidden="1" customWidth="1"/>
    <col min="12" max="13" width="11" style="26"/>
    <col min="14" max="14" width="12.125" style="26" bestFit="1" customWidth="1"/>
    <col min="15" max="15" width="0.125" style="26" customWidth="1"/>
    <col min="16" max="16384" width="11" style="26"/>
  </cols>
  <sheetData>
    <row r="1" spans="1:16" x14ac:dyDescent="0.25">
      <c r="A1" s="52" t="s">
        <v>77</v>
      </c>
      <c r="B1" s="39"/>
      <c r="C1" s="41"/>
      <c r="D1" s="41"/>
      <c r="E1" s="41"/>
      <c r="F1" s="41"/>
      <c r="G1" s="39"/>
      <c r="H1" s="39"/>
      <c r="I1" s="34" t="s">
        <v>158</v>
      </c>
      <c r="J1" s="39"/>
      <c r="K1" s="39"/>
      <c r="L1" s="39"/>
      <c r="M1" s="39"/>
      <c r="N1" s="39"/>
    </row>
    <row r="2" spans="1:16" x14ac:dyDescent="0.25">
      <c r="A2" s="39" t="s">
        <v>138</v>
      </c>
      <c r="B2" s="39">
        <v>3.17</v>
      </c>
      <c r="C2" s="41"/>
      <c r="D2" s="41" t="s">
        <v>137</v>
      </c>
      <c r="E2" s="39">
        <f>'Summary Page'!B19</f>
        <v>800</v>
      </c>
      <c r="F2" s="41"/>
      <c r="G2" s="39"/>
      <c r="H2" s="39"/>
      <c r="I2" s="39"/>
      <c r="J2" s="39"/>
      <c r="K2" s="39"/>
      <c r="L2" s="39"/>
      <c r="M2" s="39"/>
      <c r="N2" s="39"/>
    </row>
    <row r="3" spans="1:16" x14ac:dyDescent="0.25">
      <c r="A3" s="41"/>
      <c r="B3" s="41"/>
      <c r="C3" s="41"/>
      <c r="D3" s="41"/>
      <c r="E3" s="41"/>
      <c r="F3" s="41"/>
      <c r="G3" s="39"/>
      <c r="H3" s="39"/>
      <c r="I3" s="39"/>
      <c r="J3" s="39"/>
      <c r="K3" s="39"/>
      <c r="L3" s="39"/>
      <c r="M3" s="39"/>
      <c r="N3" s="39"/>
    </row>
    <row r="4" spans="1:16" x14ac:dyDescent="0.25">
      <c r="A4" s="39" t="s">
        <v>190</v>
      </c>
      <c r="B4" s="41" t="s">
        <v>76</v>
      </c>
      <c r="C4" s="41" t="s">
        <v>75</v>
      </c>
      <c r="D4" s="41" t="s">
        <v>8</v>
      </c>
      <c r="E4" s="41" t="s">
        <v>74</v>
      </c>
      <c r="F4" s="41" t="s">
        <v>73</v>
      </c>
      <c r="G4" s="41" t="s">
        <v>10</v>
      </c>
      <c r="H4" s="39" t="s">
        <v>72</v>
      </c>
      <c r="I4" s="39" t="s">
        <v>71</v>
      </c>
      <c r="J4" s="39" t="s">
        <v>70</v>
      </c>
      <c r="K4" s="39"/>
      <c r="L4" s="39" t="s">
        <v>59</v>
      </c>
      <c r="M4" s="39" t="s">
        <v>59</v>
      </c>
      <c r="N4" s="39" t="s">
        <v>14</v>
      </c>
      <c r="O4" s="66" t="s">
        <v>213</v>
      </c>
    </row>
    <row r="5" spans="1:16" x14ac:dyDescent="0.25">
      <c r="A5" s="39"/>
      <c r="B5" s="27"/>
      <c r="C5" s="44" t="s">
        <v>69</v>
      </c>
      <c r="D5" s="44" t="s">
        <v>135</v>
      </c>
      <c r="E5" s="27" t="s">
        <v>243</v>
      </c>
      <c r="F5" s="27" t="s">
        <v>243</v>
      </c>
      <c r="G5" s="39"/>
      <c r="H5" s="27" t="s">
        <v>30</v>
      </c>
      <c r="I5" s="39"/>
      <c r="J5" s="27" t="s">
        <v>67</v>
      </c>
      <c r="K5" s="27"/>
      <c r="L5" s="47" t="s">
        <v>135</v>
      </c>
      <c r="M5" s="27" t="s">
        <v>68</v>
      </c>
      <c r="N5" s="47" t="s">
        <v>13</v>
      </c>
    </row>
    <row r="6" spans="1:16" x14ac:dyDescent="0.25">
      <c r="A6" s="61" t="s">
        <v>255</v>
      </c>
      <c r="B6" s="45" t="s">
        <v>267</v>
      </c>
      <c r="C6" s="45">
        <v>9211.86</v>
      </c>
      <c r="D6" s="46">
        <f>IF(B6="Fixed Head",EXP(11.4185-0.9228*LN(C6)+0.09861*(LN(C6))^2),IF(B6="Floating Head",EXP(12.031-0.8709*LN(C6)+0.09005*(LN(C6))^2),IF(B6="U-tube",EXP(11.551-0.9186*LN(C6)+0.0979*(LN(C6))^2),IF(B6="Kettle Vaporizer",EXP(12.331-0.8709*LN(C6)+0.09005*(LN(C6))^2),0))))</f>
        <v>73985.281335379812</v>
      </c>
      <c r="E6" s="45">
        <v>0</v>
      </c>
      <c r="F6" s="45">
        <v>0</v>
      </c>
      <c r="G6" s="39">
        <f>IF(C6=0,0,E6+(C6/100)^F6)</f>
        <v>1</v>
      </c>
      <c r="H6" s="45">
        <v>53.52</v>
      </c>
      <c r="I6" s="39">
        <f>MAX(0.9803+0.018*(H6/100)+0.0017*((H6/100)^2),1)</f>
        <v>1</v>
      </c>
      <c r="J6" s="45">
        <v>1.1200000000000001</v>
      </c>
      <c r="K6" s="39">
        <f ca="1">_xlfn.SHEETS('Summary Page'!$B$19)</f>
        <v>1</v>
      </c>
      <c r="L6" s="46">
        <f ca="1">J6*I6*G6*D6*K6</f>
        <v>82863.515095625393</v>
      </c>
      <c r="M6" s="46">
        <f ca="1">($E$2/567)*L6</f>
        <v>116915.0124806002</v>
      </c>
      <c r="N6" s="32">
        <f ca="1">M6*$B$2</f>
        <v>370620.58956350264</v>
      </c>
      <c r="O6" s="26">
        <f>IF(C6&lt;&gt;0,IF(AND(C6&gt;=150,C6&lt;=12000),0,1),0)</f>
        <v>0</v>
      </c>
      <c r="P6" s="64" t="str">
        <f>IF(O6&gt;0,"Warning - extrapolation in cost estimate, area must be between 150 and 12000","")</f>
        <v/>
      </c>
    </row>
    <row r="7" spans="1:16" x14ac:dyDescent="0.25">
      <c r="A7" s="38"/>
      <c r="B7" s="41"/>
      <c r="C7" s="41"/>
      <c r="D7" s="46"/>
      <c r="E7" s="41"/>
      <c r="F7" s="41"/>
      <c r="G7" s="39"/>
      <c r="H7" s="41"/>
      <c r="I7" s="39"/>
      <c r="J7" s="41"/>
      <c r="K7" s="41"/>
      <c r="L7" s="46"/>
      <c r="M7" s="46"/>
      <c r="N7" s="32"/>
    </row>
    <row r="8" spans="1:16" x14ac:dyDescent="0.25">
      <c r="A8" s="61" t="s">
        <v>256</v>
      </c>
      <c r="B8" s="45" t="s">
        <v>267</v>
      </c>
      <c r="C8" s="45">
        <v>6784.52</v>
      </c>
      <c r="D8" s="46">
        <f>IF(B8="Fixed Head",EXP(11.4185-0.9228*LN(C8)+0.09861*(LN(C8))^2),IF(B8="Floating Head",EXP(12.031-0.8709*LN(C8)+0.09005*(LN(C8))^2),IF(B8="U-tube",EXP(11.551-0.9186*LN(C8)+0.0979*(LN(C8))^2),IF(B8="Kettle Vaporizer",EXP(12.331-0.8709*LN(C8)+0.09005*(LN(C8))^2),0))))</f>
        <v>57095.021642014013</v>
      </c>
      <c r="E8" s="45">
        <v>0</v>
      </c>
      <c r="F8" s="45">
        <v>0</v>
      </c>
      <c r="G8" s="39">
        <f>IF(C8=0,0,E8+(C8/100)^F8)</f>
        <v>1</v>
      </c>
      <c r="H8" s="45">
        <v>225.53</v>
      </c>
      <c r="I8" s="39">
        <f>MAX(0.9803+0.018*(H8/100)+0.0017*((H8/100)^2),1)</f>
        <v>1.0295422427529999</v>
      </c>
      <c r="J8" s="45">
        <v>1.1200000000000001</v>
      </c>
      <c r="K8" s="39">
        <f ca="1">_xlfn.SHEETS('Summary Page'!$B$19)</f>
        <v>1</v>
      </c>
      <c r="L8" s="46">
        <f ca="1">J8*I8*G8*D8*K8</f>
        <v>65835.545027112195</v>
      </c>
      <c r="M8" s="46">
        <f ca="1">($E$2/567)*L8</f>
        <v>92889.657886578047</v>
      </c>
      <c r="N8" s="32">
        <f ca="1">M8*$B$2</f>
        <v>294460.21550045238</v>
      </c>
      <c r="O8" s="26">
        <f>IF(C8&lt;&gt;0,IF(AND(C8&gt;=150,C8&lt;=12000),0,1),0)</f>
        <v>0</v>
      </c>
      <c r="P8" s="64" t="str">
        <f>IF(O8&gt;0,"Warning - extrapolation in cost estimate, area must be between 150 and 12000","")</f>
        <v/>
      </c>
    </row>
    <row r="9" spans="1:16" x14ac:dyDescent="0.25">
      <c r="A9" s="38"/>
      <c r="B9" s="41"/>
      <c r="C9" s="41"/>
      <c r="D9" s="46"/>
      <c r="E9" s="41"/>
      <c r="F9" s="41"/>
      <c r="G9" s="39"/>
      <c r="H9" s="41"/>
      <c r="I9" s="39"/>
      <c r="J9" s="41"/>
      <c r="K9" s="41"/>
      <c r="L9" s="46"/>
      <c r="M9" s="46"/>
      <c r="N9" s="32"/>
    </row>
    <row r="10" spans="1:16" x14ac:dyDescent="0.25">
      <c r="A10" s="61" t="s">
        <v>257</v>
      </c>
      <c r="B10" s="45" t="s">
        <v>267</v>
      </c>
      <c r="C10" s="45">
        <v>6557.61</v>
      </c>
      <c r="D10" s="46">
        <f>IF(B10="Fixed Head",EXP(11.4185-0.9228*LN(C10)+0.09861*(LN(C10))^2),IF(B10="Floating Head",EXP(12.031-0.8709*LN(C10)+0.09005*(LN(C10))^2),IF(B10="U-tube",EXP(11.551-0.9186*LN(C10)+0.0979*(LN(C10))^2),IF(B10="Kettle Vaporizer",EXP(12.331-0.8709*LN(C10)+0.09005*(LN(C10))^2),0))))</f>
        <v>55536.121562139357</v>
      </c>
      <c r="E10" s="45">
        <v>0</v>
      </c>
      <c r="F10" s="45">
        <v>0</v>
      </c>
      <c r="G10" s="39">
        <f>IF(C10=0,0,E10+(C10/100)^F10)</f>
        <v>1</v>
      </c>
      <c r="H10" s="45">
        <v>985.24</v>
      </c>
      <c r="I10" s="39">
        <f>MAX(0.9803+0.018*(H10/100)+0.0017*((H10/100)^2),1)</f>
        <v>1.3226618357919999</v>
      </c>
      <c r="J10" s="45">
        <v>1.1200000000000001</v>
      </c>
      <c r="K10" s="39">
        <f ca="1">_xlfn.SHEETS('Summary Page'!$B$19)</f>
        <v>1</v>
      </c>
      <c r="L10" s="46">
        <f ca="1">J10*I10*G10*D10*K10</f>
        <v>82270.169517924543</v>
      </c>
      <c r="M10" s="46">
        <f ca="1">($E$2/567)*L10</f>
        <v>116077.84058966425</v>
      </c>
      <c r="N10" s="32">
        <f ca="1">M10*$B$2</f>
        <v>367966.75466923567</v>
      </c>
      <c r="O10" s="26">
        <f>IF(C10&lt;&gt;0,IF(AND(C10&gt;=150,C10&lt;=12000),0,1),0)</f>
        <v>0</v>
      </c>
      <c r="P10" s="64" t="str">
        <f>IF(O10&gt;0,"Warning - extrapolation in cost estimate, area must be between 150 and 12000","")</f>
        <v/>
      </c>
    </row>
    <row r="11" spans="1:16" x14ac:dyDescent="0.25">
      <c r="A11" s="38"/>
      <c r="B11" s="41"/>
      <c r="C11" s="41"/>
      <c r="D11" s="46"/>
      <c r="E11" s="41"/>
      <c r="F11" s="41"/>
      <c r="G11" s="39"/>
      <c r="H11" s="41"/>
      <c r="I11" s="39"/>
      <c r="J11" s="41"/>
      <c r="K11" s="41"/>
      <c r="L11" s="46"/>
      <c r="M11" s="46"/>
      <c r="N11" s="32"/>
    </row>
    <row r="12" spans="1:16" x14ac:dyDescent="0.25">
      <c r="A12" s="61" t="s">
        <v>268</v>
      </c>
      <c r="B12" s="45" t="s">
        <v>267</v>
      </c>
      <c r="C12" s="45">
        <v>6063.99</v>
      </c>
      <c r="D12" s="46">
        <f>IF(B12="Fixed Head",EXP(11.4185-0.9228*LN(C12)+0.09861*(LN(C12))^2),IF(B12="Floating Head",EXP(12.031-0.8709*LN(C12)+0.09005*(LN(C12))^2),IF(B12="U-tube",EXP(11.551-0.9186*LN(C12)+0.0979*(LN(C12))^2),IF(B12="Kettle Vaporizer",EXP(12.331-0.8709*LN(C12)+0.09005*(LN(C12))^2),0))))</f>
        <v>52154.664847391119</v>
      </c>
      <c r="E12" s="45">
        <v>0</v>
      </c>
      <c r="F12" s="45">
        <v>0</v>
      </c>
      <c r="G12" s="39">
        <f>IF(C12=0,0,E12+(C12/100)^F12)</f>
        <v>1</v>
      </c>
      <c r="H12" s="45">
        <v>985.24</v>
      </c>
      <c r="I12" s="39">
        <f>MAX(0.9803+0.018*(H12/100)+0.0017*((H12/100)^2),1)</f>
        <v>1.3226618357919999</v>
      </c>
      <c r="J12" s="45">
        <v>1.1200000000000001</v>
      </c>
      <c r="K12" s="39">
        <f ca="1">_xlfn.SHEETS('Summary Page'!$B$19)</f>
        <v>1</v>
      </c>
      <c r="L12" s="46">
        <f ca="1">J12*I12*G12*D12*K12</f>
        <v>77260.942922426853</v>
      </c>
      <c r="M12" s="46">
        <f ca="1">($E$2/567)*L12</f>
        <v>109010.14874416486</v>
      </c>
      <c r="N12" s="32">
        <f ca="1">M12*$B$2</f>
        <v>345562.17151900259</v>
      </c>
      <c r="O12" s="26">
        <f>IF(C12&lt;&gt;0,IF(AND(C12&gt;=150,C12&lt;=12000),0,1),0)</f>
        <v>0</v>
      </c>
      <c r="P12" s="64" t="str">
        <f>IF(O12&gt;0,"Warning - extrapolation in cost estimate, area must be between 150 and 12000","")</f>
        <v/>
      </c>
    </row>
    <row r="13" spans="1:16" x14ac:dyDescent="0.25">
      <c r="A13" s="38"/>
      <c r="B13" s="41"/>
      <c r="C13" s="41"/>
      <c r="D13" s="46"/>
      <c r="E13" s="41"/>
      <c r="F13" s="41"/>
      <c r="G13" s="39"/>
      <c r="H13" s="41"/>
      <c r="I13" s="39"/>
      <c r="J13" s="41"/>
      <c r="K13" s="41"/>
      <c r="L13" s="46"/>
      <c r="M13" s="46"/>
      <c r="N13" s="32"/>
    </row>
    <row r="14" spans="1:16" x14ac:dyDescent="0.25">
      <c r="A14" s="61" t="s">
        <v>269</v>
      </c>
      <c r="B14" s="45" t="s">
        <v>267</v>
      </c>
      <c r="C14" s="45">
        <v>2913.0369999999998</v>
      </c>
      <c r="D14" s="46">
        <f>IF(B14="Fixed Head",EXP(11.4185-0.9228*LN(C14)+0.09861*(LN(C14))^2),IF(B14="Floating Head",EXP(12.031-0.8709*LN(C14)+0.09005*(LN(C14))^2),IF(B14="U-tube",EXP(11.551-0.9186*LN(C14)+0.0979*(LN(C14))^2),IF(B14="Kettle Vaporizer",EXP(12.331-0.8709*LN(C14)+0.09005*(LN(C14))^2),0))))</f>
        <v>30702.412464955589</v>
      </c>
      <c r="E14" s="45">
        <v>1.08</v>
      </c>
      <c r="F14" s="45">
        <v>0.05</v>
      </c>
      <c r="G14" s="39">
        <f>IF(C14=0,0,E14+(C14/100)^F14)</f>
        <v>2.2636336408575466</v>
      </c>
      <c r="H14" s="45">
        <v>217.55699999999999</v>
      </c>
      <c r="I14" s="39">
        <f>MAX(0.9803+0.018*(H14/100)+0.0017*((H14/100)^2),1)</f>
        <v>1.0275065382023301</v>
      </c>
      <c r="J14" s="45">
        <v>1.1200000000000001</v>
      </c>
      <c r="K14" s="39">
        <f ca="1">_xlfn.SHEETS('Summary Page'!$B$19)</f>
        <v>1</v>
      </c>
      <c r="L14" s="46">
        <f ca="1">J14*I14*G14*D14*K14</f>
        <v>79979.973905247098</v>
      </c>
      <c r="M14" s="46">
        <f ca="1">($E$2/567)*L14</f>
        <v>112846.52402856732</v>
      </c>
      <c r="N14" s="32">
        <f ca="1">M14*$B$2</f>
        <v>357723.48117055837</v>
      </c>
      <c r="O14" s="26">
        <f>IF(C14&lt;&gt;0,IF(AND(C14&gt;=150,C14&lt;=12000),0,1),0)</f>
        <v>0</v>
      </c>
      <c r="P14" s="64" t="str">
        <f>IF(O14&gt;0,"Warning - extrapolation in cost estimate, area must be between 150 and 12000","")</f>
        <v/>
      </c>
    </row>
    <row r="15" spans="1:16" x14ac:dyDescent="0.25">
      <c r="J15" s="36"/>
      <c r="K15" s="36"/>
    </row>
    <row r="25" spans="9:16" x14ac:dyDescent="0.25">
      <c r="I25" s="36"/>
      <c r="J25" s="41"/>
      <c r="K25" s="41"/>
      <c r="L25" s="41"/>
      <c r="N25" s="36"/>
      <c r="O25" s="41"/>
      <c r="P25" s="41"/>
    </row>
    <row r="30" spans="9:16" x14ac:dyDescent="0.25">
      <c r="L30" s="37"/>
      <c r="P30" s="37"/>
    </row>
    <row r="32" spans="9:16" x14ac:dyDescent="0.25">
      <c r="I32" s="36"/>
      <c r="J32" s="41"/>
      <c r="K32" s="41"/>
      <c r="L32" s="41"/>
      <c r="N32" s="36"/>
      <c r="O32" s="41"/>
      <c r="P32" s="41"/>
    </row>
    <row r="37" spans="12:16" x14ac:dyDescent="0.25">
      <c r="L37" s="37"/>
      <c r="P37" s="37"/>
    </row>
  </sheetData>
  <sheetProtection algorithmName="SHA-512" hashValue="lci2YOHwihfOSJFVpuhNvyIy2aEzYbK56oWBrZ+ntxoxt5uZ0CI+GF4hmnNMuCHBmMyXWxR0LYF6fXBnCa6WAA==" saltValue="Ah5vkaiSWu9o0PYzylkL5w==" spinCount="100000" sheet="1" objects="1" scenarios="1"/>
  <phoneticPr fontId="4" type="noConversion"/>
  <dataValidations count="1">
    <dataValidation type="list" allowBlank="1" showInputMessage="1" showErrorMessage="1" sqref="B6 B8 B10 B12 B14" xr:uid="{00000000-0002-0000-0900-000000000000}">
      <formula1>"Fixed Head,Floating Head,U-tube,Kettle Vaporizer"</formula1>
    </dataValidation>
  </dataValidations>
  <hyperlinks>
    <hyperlink ref="I1" location="'Summary Page'!A1" display="Summary page" xr:uid="{00000000-0004-0000-0900-000000000000}"/>
  </hyperlinks>
  <pageMargins left="0.75" right="0.75" top="1" bottom="1" header="0.5" footer="0.5"/>
  <pageSetup orientation="portrait" horizontalDpi="4294967292" verticalDpi="4294967292" r:id="rId1"/>
  <headerFooter>
    <oddHeader>&amp;C&amp;"Calibri"&amp;10&amp;K000000 Public&amp;1#_x000D_</oddHeader>
    <oddFooter>&amp;C_x000D_&amp;1#&amp;"Calibri"&amp;10&amp;K000000 Public</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Y33"/>
  <sheetViews>
    <sheetView zoomScaleNormal="100" workbookViewId="0">
      <selection activeCell="C25" sqref="C25"/>
    </sheetView>
  </sheetViews>
  <sheetFormatPr defaultColWidth="11" defaultRowHeight="15.75" x14ac:dyDescent="0.25"/>
  <cols>
    <col min="1" max="1" width="33.125" style="26" bestFit="1" customWidth="1"/>
    <col min="2" max="2" width="12.875" style="26" bestFit="1" customWidth="1"/>
    <col min="3" max="4" width="12.625" style="26" customWidth="1"/>
    <col min="5" max="5" width="12.625" style="26" hidden="1" customWidth="1"/>
    <col min="6" max="7" width="12.625" style="26" customWidth="1"/>
    <col min="8" max="8" width="0.125" style="26" customWidth="1"/>
    <col min="9" max="17" width="12.625" style="26" customWidth="1"/>
    <col min="18" max="18" width="7.375" style="26" bestFit="1" customWidth="1"/>
    <col min="19" max="19" width="12.125" style="26" bestFit="1" customWidth="1"/>
    <col min="20" max="21" width="9.375" style="26" bestFit="1" customWidth="1"/>
    <col min="22" max="22" width="10" style="26" bestFit="1" customWidth="1"/>
    <col min="23" max="23" width="8.875" style="26" bestFit="1" customWidth="1"/>
    <col min="24" max="39" width="11" style="26"/>
    <col min="40" max="40" width="33.125" style="26" bestFit="1" customWidth="1"/>
    <col min="41" max="41" width="12.875" style="26" bestFit="1" customWidth="1"/>
    <col min="42" max="42" width="20.125" style="26" bestFit="1" customWidth="1"/>
    <col min="43" max="43" width="13.125" style="26" bestFit="1" customWidth="1"/>
    <col min="44" max="44" width="19.875" style="26" bestFit="1" customWidth="1"/>
    <col min="45" max="45" width="12.125" style="26" bestFit="1" customWidth="1"/>
    <col min="46" max="46" width="13.875" style="26" bestFit="1" customWidth="1"/>
    <col min="47" max="48" width="15.125" style="26" bestFit="1" customWidth="1"/>
    <col min="49" max="49" width="7.375" style="26" bestFit="1" customWidth="1"/>
    <col min="50" max="50" width="12.125" style="26" bestFit="1" customWidth="1"/>
    <col min="51" max="52" width="9.375" style="26" bestFit="1" customWidth="1"/>
    <col min="53" max="53" width="10" style="26" bestFit="1" customWidth="1"/>
    <col min="54" max="54" width="8.875" style="26" bestFit="1" customWidth="1"/>
    <col min="55" max="16384" width="11" style="26"/>
  </cols>
  <sheetData>
    <row r="1" spans="1:17" x14ac:dyDescent="0.25">
      <c r="A1" s="48" t="s">
        <v>204</v>
      </c>
      <c r="F1" s="36"/>
      <c r="G1" s="36"/>
      <c r="J1" s="34" t="s">
        <v>158</v>
      </c>
      <c r="K1" s="34"/>
      <c r="L1" s="34"/>
      <c r="M1" s="34"/>
      <c r="N1" s="34"/>
      <c r="O1" s="34"/>
      <c r="P1" s="34"/>
      <c r="Q1" s="34"/>
    </row>
    <row r="2" spans="1:17" x14ac:dyDescent="0.25">
      <c r="A2" s="26" t="s">
        <v>138</v>
      </c>
      <c r="B2" s="26">
        <v>3</v>
      </c>
      <c r="D2" s="26" t="s">
        <v>137</v>
      </c>
      <c r="F2" s="26">
        <f>'Summary Page'!B19</f>
        <v>800</v>
      </c>
      <c r="G2" s="36"/>
    </row>
    <row r="3" spans="1:17" x14ac:dyDescent="0.25">
      <c r="F3" s="36"/>
      <c r="G3" s="36"/>
    </row>
    <row r="4" spans="1:17" x14ac:dyDescent="0.25">
      <c r="A4" s="26" t="s">
        <v>190</v>
      </c>
      <c r="B4" s="26" t="s">
        <v>78</v>
      </c>
      <c r="C4" s="26" t="s">
        <v>205</v>
      </c>
      <c r="D4" s="26" t="s">
        <v>59</v>
      </c>
      <c r="F4" s="26" t="s">
        <v>11</v>
      </c>
      <c r="G4" s="26" t="s">
        <v>92</v>
      </c>
      <c r="H4" s="66" t="s">
        <v>213</v>
      </c>
    </row>
    <row r="5" spans="1:17" x14ac:dyDescent="0.25">
      <c r="A5" s="40"/>
      <c r="B5" s="40"/>
      <c r="C5" s="40" t="s">
        <v>206</v>
      </c>
      <c r="D5" s="40" t="s">
        <v>136</v>
      </c>
      <c r="E5" s="40"/>
      <c r="F5" s="40" t="s">
        <v>13</v>
      </c>
      <c r="G5" s="40" t="s">
        <v>13</v>
      </c>
    </row>
    <row r="6" spans="1:17" x14ac:dyDescent="0.25">
      <c r="A6" s="61"/>
      <c r="B6" s="28"/>
      <c r="C6" s="28"/>
      <c r="D6" s="30">
        <f>IF(B6="Cone roof",265*C6^0.513,IF(B6="Floating roof",475*C6^0.507,0))</f>
        <v>0</v>
      </c>
      <c r="E6" s="30">
        <f ca="1">_xlfn.SHEETS('Summary Page'!$B$19)</f>
        <v>1</v>
      </c>
      <c r="F6" s="57">
        <f ca="1">($F$2/567)*D6*E6</f>
        <v>0</v>
      </c>
      <c r="G6" s="68">
        <f ca="1">F6*$B$2</f>
        <v>0</v>
      </c>
      <c r="H6" s="26">
        <f>IF(C6&lt;&gt;0,IF(B6="Cone Roof",IF(AND(C6&gt;=10000,C6&lt;=1000000),0,1),IF(B6="Floating Roof",IF(AND(C6&gt;=30000,C6&lt;=1000000),0,1),1)),0)</f>
        <v>0</v>
      </c>
      <c r="I6" s="64" t="str" cm="1">
        <f t="array" ref="I6">IF(H6&gt;0,"Warning - extrapolation in cost estimate, V must be between "&amp;IF(B6="Cone Roof","10000 and 1000000",IF(B6="Floating Roof","30000 and 1000000",na))&amp;" for this type tank, use pressure vessel for small storage tanks","")</f>
        <v/>
      </c>
    </row>
    <row r="7" spans="1:17" x14ac:dyDescent="0.25">
      <c r="A7" s="38"/>
      <c r="B7" s="36"/>
      <c r="C7" s="36"/>
      <c r="D7" s="30"/>
      <c r="E7" s="30"/>
      <c r="F7" s="32"/>
    </row>
    <row r="8" spans="1:17" x14ac:dyDescent="0.25">
      <c r="A8" s="61"/>
      <c r="B8" s="28"/>
      <c r="C8" s="28"/>
      <c r="D8" s="30">
        <f>IF(B8="Cone roof",265*C8^0.513,IF(B8="Floating roof",475*C8^0.507,0))</f>
        <v>0</v>
      </c>
      <c r="E8" s="30">
        <f ca="1">_xlfn.SHEETS('Summary Page'!$B$19)</f>
        <v>1</v>
      </c>
      <c r="F8" s="57">
        <f ca="1">($F$2/567)*D8*E8</f>
        <v>0</v>
      </c>
      <c r="G8" s="68">
        <f ca="1">F8*$B$2</f>
        <v>0</v>
      </c>
      <c r="H8" s="26">
        <f>IF(C8&lt;&gt;0,IF(B8="Cone Roof",IF(AND(C8&gt;=10000,C8&lt;=1000000),0,1),IF(B8="Floating Roof",IF(AND(C8&gt;=30000,C8&lt;=1000000),0,1),1)),0)</f>
        <v>0</v>
      </c>
      <c r="I8" s="64" t="str">
        <f>IF(H8&gt;0,"Warning - extrapolation in cost estimate, refer to textbook for valid range - use pressure vessel for small storage tanks","")</f>
        <v/>
      </c>
    </row>
    <row r="9" spans="1:17" x14ac:dyDescent="0.25">
      <c r="A9" s="38"/>
      <c r="B9" s="36"/>
      <c r="C9" s="36"/>
      <c r="D9" s="30"/>
      <c r="E9" s="30"/>
      <c r="F9" s="32"/>
    </row>
    <row r="10" spans="1:17" x14ac:dyDescent="0.25">
      <c r="A10" s="61"/>
      <c r="B10" s="28"/>
      <c r="C10" s="28"/>
      <c r="D10" s="30">
        <f>IF(B10="Cone roof",265*C10^0.513,IF(B10="Floating roof",475*C10^0.507,0))</f>
        <v>0</v>
      </c>
      <c r="E10" s="30">
        <f ca="1">_xlfn.SHEETS('Summary Page'!$B$19)</f>
        <v>1</v>
      </c>
      <c r="F10" s="57">
        <f ca="1">($F$2/567)*D10*E10</f>
        <v>0</v>
      </c>
      <c r="G10" s="68">
        <f ca="1">F10*$B$2</f>
        <v>0</v>
      </c>
      <c r="H10" s="26">
        <f>IF(C10&lt;&gt;0,IF(B10="Cone Roof",IF(AND(C10&gt;=10000,C10&lt;=1000000),0,1),IF(B10="Floating Roof",IF(AND(C10&gt;=30000,C10&lt;=1000000),0,1),1)),0)</f>
        <v>0</v>
      </c>
      <c r="I10" s="64" t="str">
        <f>IF(H10&gt;0,"Warning - extrapolation in cost estimate, refer to textbook for valid range - use pressure vessel for small storage tanks","")</f>
        <v/>
      </c>
    </row>
    <row r="11" spans="1:17" x14ac:dyDescent="0.25">
      <c r="A11" s="38"/>
      <c r="B11" s="36"/>
      <c r="C11" s="36"/>
      <c r="D11" s="30"/>
      <c r="E11" s="30"/>
      <c r="F11" s="32"/>
    </row>
    <row r="12" spans="1:17" x14ac:dyDescent="0.25">
      <c r="A12" s="61"/>
      <c r="B12" s="28"/>
      <c r="C12" s="28"/>
      <c r="D12" s="30">
        <f>IF(B12="Cone roof",265*C12^0.513,IF(B12="Floating roof",475*C12^0.507,0))</f>
        <v>0</v>
      </c>
      <c r="E12" s="30">
        <f ca="1">_xlfn.SHEETS('Summary Page'!$B$19)</f>
        <v>1</v>
      </c>
      <c r="F12" s="57">
        <f ca="1">($F$2/567)*D12*E12</f>
        <v>0</v>
      </c>
      <c r="G12" s="68">
        <f ca="1">F12*$B$2</f>
        <v>0</v>
      </c>
      <c r="H12" s="26">
        <f>IF(C12&lt;&gt;0,IF(B12="Cone Roof",IF(AND(C12&gt;=10000,C12&lt;=1000000),0,1),IF(B12="Floating Roof",IF(AND(C12&gt;=30000,C12&lt;=1000000),0,1),1)),0)</f>
        <v>0</v>
      </c>
      <c r="I12" s="64" t="str">
        <f>IF(H12&gt;0,"Warning - extrapolation in cost estimate, refer to textbook for valid range - use pressure vessel for small storage tanks","")</f>
        <v/>
      </c>
    </row>
    <row r="13" spans="1:17" x14ac:dyDescent="0.25">
      <c r="A13" s="38"/>
      <c r="B13" s="36"/>
      <c r="C13" s="36"/>
      <c r="D13" s="30"/>
      <c r="E13" s="30"/>
      <c r="F13" s="32"/>
    </row>
    <row r="14" spans="1:17" x14ac:dyDescent="0.25">
      <c r="A14" s="61"/>
      <c r="B14" s="28"/>
      <c r="C14" s="28"/>
      <c r="D14" s="30">
        <f>IF(B14="Cone roof",265*C14^0.513,IF(B14="Floating roof",475*C14^0.507,0))</f>
        <v>0</v>
      </c>
      <c r="E14" s="30">
        <f ca="1">_xlfn.SHEETS('Summary Page'!$B$19)</f>
        <v>1</v>
      </c>
      <c r="F14" s="57">
        <f ca="1">($F$2/567)*D14*E14</f>
        <v>0</v>
      </c>
      <c r="G14" s="68">
        <f ca="1">F14*$B$2</f>
        <v>0</v>
      </c>
      <c r="H14" s="26">
        <f>IF(C14&lt;&gt;0,IF(B14="Cone Roof",IF(AND(C14&gt;=10000,C14&lt;=1000000),0,1),IF(B14="Floating Roof",IF(AND(C14&gt;=30000,C14&lt;=1000000),0,1),1)),0)</f>
        <v>0</v>
      </c>
      <c r="I14" s="64" t="str">
        <f>IF(H14&gt;0,"Warning - extrapolation in cost estimate, refer to textbook for valid range - use pressure vessel for small storage tanks","")</f>
        <v/>
      </c>
    </row>
    <row r="16" spans="1:17" x14ac:dyDescent="0.25">
      <c r="A16" s="26" t="s">
        <v>207</v>
      </c>
    </row>
    <row r="17" spans="1:25" x14ac:dyDescent="0.25">
      <c r="A17" s="26" t="s">
        <v>208</v>
      </c>
    </row>
    <row r="18" spans="1:25" x14ac:dyDescent="0.25">
      <c r="A18" s="26" t="s">
        <v>209</v>
      </c>
    </row>
    <row r="19" spans="1:25" x14ac:dyDescent="0.25">
      <c r="A19" s="10" t="s">
        <v>210</v>
      </c>
    </row>
    <row r="20" spans="1:25" x14ac:dyDescent="0.25">
      <c r="A20" s="26" t="s">
        <v>211</v>
      </c>
    </row>
    <row r="21" spans="1:25" x14ac:dyDescent="0.25">
      <c r="A21" s="10" t="s">
        <v>235</v>
      </c>
    </row>
    <row r="22" spans="1:25" x14ac:dyDescent="0.25">
      <c r="A22" s="27"/>
      <c r="B22" s="27"/>
      <c r="C22" s="27"/>
      <c r="D22" s="27"/>
      <c r="E22" s="27"/>
      <c r="F22" s="27"/>
      <c r="G22" s="27"/>
      <c r="H22" s="27"/>
      <c r="I22" s="27"/>
      <c r="J22" s="27"/>
      <c r="K22" s="27"/>
      <c r="L22" s="27"/>
      <c r="M22" s="27"/>
      <c r="N22" s="27"/>
      <c r="O22" s="27"/>
      <c r="P22" s="27"/>
      <c r="Q22" s="27"/>
      <c r="R22" s="27"/>
      <c r="V22" s="27"/>
    </row>
    <row r="23" spans="1:25" x14ac:dyDescent="0.25">
      <c r="H23" s="29"/>
      <c r="I23" s="29"/>
      <c r="J23" s="29"/>
      <c r="K23" s="29"/>
      <c r="L23" s="29"/>
      <c r="M23" s="29"/>
      <c r="N23" s="29"/>
      <c r="O23" s="29"/>
      <c r="P23" s="29"/>
      <c r="Q23" s="29"/>
    </row>
    <row r="24" spans="1:25" x14ac:dyDescent="0.25">
      <c r="U24" s="37"/>
      <c r="Y24" s="37"/>
    </row>
    <row r="25" spans="1:25" x14ac:dyDescent="0.25">
      <c r="S25" s="42"/>
    </row>
    <row r="27" spans="1:25" x14ac:dyDescent="0.25">
      <c r="A27" s="27"/>
      <c r="B27" s="27"/>
      <c r="C27" s="27"/>
      <c r="D27" s="27"/>
      <c r="E27" s="27"/>
      <c r="F27" s="27"/>
      <c r="G27" s="27"/>
      <c r="H27" s="27"/>
      <c r="I27" s="27"/>
      <c r="J27" s="27"/>
      <c r="K27" s="27"/>
      <c r="L27" s="27"/>
      <c r="M27" s="27"/>
      <c r="N27" s="27"/>
      <c r="O27" s="27"/>
      <c r="P27" s="27"/>
      <c r="Q27" s="27"/>
      <c r="R27" s="27"/>
      <c r="S27" s="42"/>
      <c r="V27" s="27"/>
      <c r="W27" s="27"/>
      <c r="X27" s="27"/>
    </row>
    <row r="28" spans="1:25" x14ac:dyDescent="0.25">
      <c r="H28" s="29"/>
      <c r="I28" s="29"/>
      <c r="J28" s="29"/>
      <c r="K28" s="29"/>
      <c r="L28" s="29"/>
      <c r="M28" s="29"/>
      <c r="N28" s="29"/>
      <c r="O28" s="29"/>
      <c r="P28" s="29"/>
      <c r="Q28" s="29"/>
    </row>
    <row r="32" spans="1:25" x14ac:dyDescent="0.25">
      <c r="U32" s="37"/>
    </row>
    <row r="33" spans="2:2" x14ac:dyDescent="0.25">
      <c r="B33" s="50"/>
    </row>
  </sheetData>
  <sheetProtection algorithmName="SHA-512" hashValue="K1mFr/2xyrcfMNx6PVL9eSxXS7DfaptfzCRlKkAHcy2o7D94qUEftaN8JX240MjCfgfWSzwURkNCsIXCfeO7Ng==" saltValue="nIZgGZuayMj+YkqrxIoNSA==" spinCount="100000" sheet="1" objects="1" scenarios="1"/>
  <dataValidations count="1">
    <dataValidation type="list" allowBlank="1" showInputMessage="1" showErrorMessage="1" sqref="B6 B12 B8 B10 B14" xr:uid="{00000000-0002-0000-0F00-000000000000}">
      <formula1>"Cone roof,Floating roof"</formula1>
    </dataValidation>
  </dataValidations>
  <hyperlinks>
    <hyperlink ref="J1" location="'Summary Page'!A1" display="Summary page" xr:uid="{00000000-0004-0000-0F00-000000000000}"/>
  </hyperlinks>
  <pageMargins left="0.75" right="0.75" top="1" bottom="1" header="0.5" footer="0.5"/>
  <pageSetup orientation="portrait" horizontalDpi="4294967292" verticalDpi="4294967292" r:id="rId1"/>
  <headerFooter>
    <oddHeader>&amp;C&amp;"Calibri"&amp;10&amp;K000000 Public&amp;1#_x000D_</oddHeader>
    <oddFooter>&amp;C_x000D_&amp;1#&amp;"Calibri"&amp;10&amp;K000000 Public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75"/>
  <sheetViews>
    <sheetView topLeftCell="A45" workbookViewId="0">
      <selection activeCell="B75" sqref="B75"/>
    </sheetView>
  </sheetViews>
  <sheetFormatPr defaultColWidth="8.875" defaultRowHeight="15.75" x14ac:dyDescent="0.25"/>
  <sheetData>
    <row r="1" spans="1:2" x14ac:dyDescent="0.25">
      <c r="A1" t="s">
        <v>142</v>
      </c>
      <c r="B1" t="s">
        <v>143</v>
      </c>
    </row>
    <row r="2" spans="1:2" x14ac:dyDescent="0.25">
      <c r="A2">
        <v>1</v>
      </c>
      <c r="B2" t="s">
        <v>144</v>
      </c>
    </row>
    <row r="4" spans="1:2" x14ac:dyDescent="0.25">
      <c r="A4">
        <v>2</v>
      </c>
      <c r="B4" t="s">
        <v>172</v>
      </c>
    </row>
    <row r="5" spans="1:2" x14ac:dyDescent="0.25">
      <c r="B5" t="s">
        <v>160</v>
      </c>
    </row>
    <row r="6" spans="1:2" x14ac:dyDescent="0.25">
      <c r="B6" t="s">
        <v>159</v>
      </c>
    </row>
    <row r="7" spans="1:2" x14ac:dyDescent="0.25">
      <c r="B7" t="s">
        <v>173</v>
      </c>
    </row>
    <row r="8" spans="1:2" x14ac:dyDescent="0.25">
      <c r="B8" t="s">
        <v>174</v>
      </c>
    </row>
    <row r="9" spans="1:2" x14ac:dyDescent="0.25">
      <c r="B9" t="s">
        <v>170</v>
      </c>
    </row>
    <row r="10" spans="1:2" x14ac:dyDescent="0.25">
      <c r="B10" t="s">
        <v>175</v>
      </c>
    </row>
    <row r="11" spans="1:2" x14ac:dyDescent="0.25">
      <c r="B11" t="s">
        <v>161</v>
      </c>
    </row>
    <row r="12" spans="1:2" x14ac:dyDescent="0.25">
      <c r="B12" t="s">
        <v>169</v>
      </c>
    </row>
    <row r="13" spans="1:2" x14ac:dyDescent="0.25">
      <c r="B13" t="s">
        <v>145</v>
      </c>
    </row>
    <row r="14" spans="1:2" x14ac:dyDescent="0.25">
      <c r="B14" t="s">
        <v>176</v>
      </c>
    </row>
    <row r="15" spans="1:2" x14ac:dyDescent="0.25">
      <c r="B15" t="s">
        <v>154</v>
      </c>
    </row>
    <row r="16" spans="1:2" x14ac:dyDescent="0.25">
      <c r="B16" t="s">
        <v>177</v>
      </c>
    </row>
    <row r="17" spans="2:2" x14ac:dyDescent="0.25">
      <c r="B17" t="s">
        <v>166</v>
      </c>
    </row>
    <row r="18" spans="2:2" x14ac:dyDescent="0.25">
      <c r="B18" t="s">
        <v>157</v>
      </c>
    </row>
    <row r="19" spans="2:2" x14ac:dyDescent="0.25">
      <c r="B19" t="s">
        <v>165</v>
      </c>
    </row>
    <row r="20" spans="2:2" x14ac:dyDescent="0.25">
      <c r="B20" t="s">
        <v>153</v>
      </c>
    </row>
    <row r="21" spans="2:2" x14ac:dyDescent="0.25">
      <c r="B21" t="s">
        <v>156</v>
      </c>
    </row>
    <row r="22" spans="2:2" x14ac:dyDescent="0.25">
      <c r="B22" t="s">
        <v>164</v>
      </c>
    </row>
    <row r="23" spans="2:2" x14ac:dyDescent="0.25">
      <c r="B23" t="s">
        <v>178</v>
      </c>
    </row>
    <row r="24" spans="2:2" x14ac:dyDescent="0.25">
      <c r="B24" t="s">
        <v>167</v>
      </c>
    </row>
    <row r="25" spans="2:2" x14ac:dyDescent="0.25">
      <c r="B25" t="s">
        <v>181</v>
      </c>
    </row>
    <row r="26" spans="2:2" x14ac:dyDescent="0.25">
      <c r="B26" t="s">
        <v>168</v>
      </c>
    </row>
    <row r="27" spans="2:2" x14ac:dyDescent="0.25">
      <c r="B27" t="s">
        <v>171</v>
      </c>
    </row>
    <row r="28" spans="2:2" x14ac:dyDescent="0.25">
      <c r="B28" t="s">
        <v>180</v>
      </c>
    </row>
    <row r="29" spans="2:2" x14ac:dyDescent="0.25">
      <c r="B29" t="s">
        <v>179</v>
      </c>
    </row>
    <row r="30" spans="2:2" x14ac:dyDescent="0.25">
      <c r="B30" t="s">
        <v>182</v>
      </c>
    </row>
    <row r="31" spans="2:2" x14ac:dyDescent="0.25">
      <c r="B31" t="s">
        <v>183</v>
      </c>
    </row>
    <row r="33" spans="1:2" x14ac:dyDescent="0.25">
      <c r="A33">
        <v>3</v>
      </c>
      <c r="B33" t="s">
        <v>186</v>
      </c>
    </row>
    <row r="34" spans="1:2" x14ac:dyDescent="0.25">
      <c r="B34" t="s">
        <v>184</v>
      </c>
    </row>
    <row r="35" spans="1:2" x14ac:dyDescent="0.25">
      <c r="B35" t="s">
        <v>185</v>
      </c>
    </row>
    <row r="37" spans="1:2" x14ac:dyDescent="0.25">
      <c r="A37">
        <v>4</v>
      </c>
      <c r="B37" t="s">
        <v>200</v>
      </c>
    </row>
    <row r="38" spans="1:2" x14ac:dyDescent="0.25">
      <c r="B38" t="s">
        <v>189</v>
      </c>
    </row>
    <row r="39" spans="1:2" x14ac:dyDescent="0.25">
      <c r="B39" t="s">
        <v>201</v>
      </c>
    </row>
    <row r="40" spans="1:2" x14ac:dyDescent="0.25">
      <c r="B40" t="s">
        <v>191</v>
      </c>
    </row>
    <row r="41" spans="1:2" x14ac:dyDescent="0.25">
      <c r="B41" t="s">
        <v>192</v>
      </c>
    </row>
    <row r="42" spans="1:2" x14ac:dyDescent="0.25">
      <c r="B42" t="s">
        <v>193</v>
      </c>
    </row>
    <row r="43" spans="1:2" x14ac:dyDescent="0.25">
      <c r="B43" t="s">
        <v>194</v>
      </c>
    </row>
    <row r="44" spans="1:2" x14ac:dyDescent="0.25">
      <c r="B44" t="s">
        <v>195</v>
      </c>
    </row>
    <row r="45" spans="1:2" x14ac:dyDescent="0.25">
      <c r="B45" t="s">
        <v>196</v>
      </c>
    </row>
    <row r="46" spans="1:2" x14ac:dyDescent="0.25">
      <c r="B46" t="s">
        <v>198</v>
      </c>
    </row>
    <row r="47" spans="1:2" x14ac:dyDescent="0.25">
      <c r="B47" t="s">
        <v>199</v>
      </c>
    </row>
    <row r="48" spans="1:2" x14ac:dyDescent="0.25">
      <c r="B48" t="s">
        <v>202</v>
      </c>
    </row>
    <row r="50" spans="1:2" x14ac:dyDescent="0.25">
      <c r="A50">
        <v>5</v>
      </c>
      <c r="B50" t="s">
        <v>221</v>
      </c>
    </row>
    <row r="51" spans="1:2" x14ac:dyDescent="0.25">
      <c r="B51" t="s">
        <v>203</v>
      </c>
    </row>
    <row r="52" spans="1:2" x14ac:dyDescent="0.25">
      <c r="B52" t="s">
        <v>215</v>
      </c>
    </row>
    <row r="53" spans="1:2" x14ac:dyDescent="0.25">
      <c r="B53" t="s">
        <v>218</v>
      </c>
    </row>
    <row r="54" spans="1:2" x14ac:dyDescent="0.25">
      <c r="B54" t="s">
        <v>214</v>
      </c>
    </row>
    <row r="55" spans="1:2" x14ac:dyDescent="0.25">
      <c r="B55" t="s">
        <v>222</v>
      </c>
    </row>
    <row r="56" spans="1:2" x14ac:dyDescent="0.25">
      <c r="B56" t="s">
        <v>223</v>
      </c>
    </row>
    <row r="58" spans="1:2" x14ac:dyDescent="0.25">
      <c r="A58">
        <v>6</v>
      </c>
      <c r="B58" t="s">
        <v>224</v>
      </c>
    </row>
    <row r="59" spans="1:2" x14ac:dyDescent="0.25">
      <c r="B59" t="s">
        <v>225</v>
      </c>
    </row>
    <row r="60" spans="1:2" x14ac:dyDescent="0.25">
      <c r="B60" t="s">
        <v>226</v>
      </c>
    </row>
    <row r="61" spans="1:2" x14ac:dyDescent="0.25">
      <c r="B61" t="s">
        <v>227</v>
      </c>
    </row>
    <row r="62" spans="1:2" x14ac:dyDescent="0.25">
      <c r="B62" t="s">
        <v>229</v>
      </c>
    </row>
    <row r="63" spans="1:2" x14ac:dyDescent="0.25">
      <c r="B63" t="s">
        <v>230</v>
      </c>
    </row>
    <row r="64" spans="1:2" x14ac:dyDescent="0.25">
      <c r="B64" t="s">
        <v>232</v>
      </c>
    </row>
    <row r="65" spans="1:2" x14ac:dyDescent="0.25">
      <c r="B65" t="s">
        <v>231</v>
      </c>
    </row>
    <row r="66" spans="1:2" x14ac:dyDescent="0.25">
      <c r="B66" t="s">
        <v>233</v>
      </c>
    </row>
    <row r="67" spans="1:2" x14ac:dyDescent="0.25">
      <c r="B67" t="s">
        <v>234</v>
      </c>
    </row>
    <row r="69" spans="1:2" x14ac:dyDescent="0.25">
      <c r="A69">
        <v>7</v>
      </c>
      <c r="B69" t="s">
        <v>237</v>
      </c>
    </row>
    <row r="70" spans="1:2" x14ac:dyDescent="0.25">
      <c r="B70" t="s">
        <v>238</v>
      </c>
    </row>
    <row r="71" spans="1:2" x14ac:dyDescent="0.25">
      <c r="B71" t="s">
        <v>239</v>
      </c>
    </row>
    <row r="72" spans="1:2" x14ac:dyDescent="0.25">
      <c r="B72" t="s">
        <v>240</v>
      </c>
    </row>
    <row r="73" spans="1:2" x14ac:dyDescent="0.25">
      <c r="B73" t="s">
        <v>246</v>
      </c>
    </row>
    <row r="74" spans="1:2" x14ac:dyDescent="0.25">
      <c r="B74" t="s">
        <v>247</v>
      </c>
    </row>
    <row r="75" spans="1:2" x14ac:dyDescent="0.25">
      <c r="B75" t="s">
        <v>252</v>
      </c>
    </row>
  </sheetData>
  <sheetProtection algorithmName="SHA-512" hashValue="ktso/SrOgXwO18wCl56fXFwzpPzYe3kBj27r8+ZOFq1rbDUEFn+nyCUEyciiV9b6h05A6TQc1En8hmeUSdDiMg==" saltValue="0bKwZi/iZ/EoEptAUtg4Dw==" spinCount="100000" sheet="1" objects="1" scenarios="1"/>
  <pageMargins left="0.7" right="0.7" top="0.75" bottom="0.75" header="0.3" footer="0.3"/>
  <pageSetup orientation="portrait" r:id="rId1"/>
  <headerFooter>
    <oddHeader>&amp;C&amp;"Calibri"&amp;10&amp;K000000 Public&amp;1#_x000D_</oddHeader>
    <oddFooter>&amp;C_x000D_&amp;1#&amp;"Calibri"&amp;10&amp;K000000 Public</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Summary Page</vt:lpstr>
      <vt:lpstr>Centrifugal Pumps</vt:lpstr>
      <vt:lpstr>Compressors</vt:lpstr>
      <vt:lpstr>Pressure Vessels</vt:lpstr>
      <vt:lpstr>Electric Motors</vt:lpstr>
      <vt:lpstr>Centrifugal (turbo) Blower</vt:lpstr>
      <vt:lpstr>Shell and Tube Heat Exchangers</vt:lpstr>
      <vt:lpstr>Storage Tanks</vt:lpstr>
      <vt:lpstr>Revision History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Russell Dunn</dc:creator>
  <cp:lastModifiedBy>Wright, Hannah</cp:lastModifiedBy>
  <cp:lastPrinted>2012-11-14T20:37:30Z</cp:lastPrinted>
  <dcterms:created xsi:type="dcterms:W3CDTF">2012-10-10T16:58:34Z</dcterms:created>
  <dcterms:modified xsi:type="dcterms:W3CDTF">2024-06-18T18:40:41Z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e1621af-373e-4f6e-a55a-4aefee4e798d_Enabled">
    <vt:lpwstr>true</vt:lpwstr>
  </property>
  <property fmtid="{D5CDD505-2E9C-101B-9397-08002B2CF9AE}" pid="3" name="MSIP_Label_ae1621af-373e-4f6e-a55a-4aefee4e798d_SetDate">
    <vt:lpwstr>2023-12-04T19:46:34Z</vt:lpwstr>
  </property>
  <property fmtid="{D5CDD505-2E9C-101B-9397-08002B2CF9AE}" pid="4" name="MSIP_Label_ae1621af-373e-4f6e-a55a-4aefee4e798d_Method">
    <vt:lpwstr>Privileged</vt:lpwstr>
  </property>
  <property fmtid="{D5CDD505-2E9C-101B-9397-08002B2CF9AE}" pid="5" name="MSIP_Label_ae1621af-373e-4f6e-a55a-4aefee4e798d_Name">
    <vt:lpwstr>Public</vt:lpwstr>
  </property>
  <property fmtid="{D5CDD505-2E9C-101B-9397-08002B2CF9AE}" pid="6" name="MSIP_Label_ae1621af-373e-4f6e-a55a-4aefee4e798d_SiteId">
    <vt:lpwstr>a2a9bf31-fc44-425c-a6d2-3ae9379573ea</vt:lpwstr>
  </property>
  <property fmtid="{D5CDD505-2E9C-101B-9397-08002B2CF9AE}" pid="7" name="MSIP_Label_ae1621af-373e-4f6e-a55a-4aefee4e798d_ActionId">
    <vt:lpwstr>b3e4b679-c0ab-481d-ba83-84a23d81e032</vt:lpwstr>
  </property>
  <property fmtid="{D5CDD505-2E9C-101B-9397-08002B2CF9AE}" pid="8" name="MSIP_Label_ae1621af-373e-4f6e-a55a-4aefee4e798d_ContentBits">
    <vt:lpwstr>3</vt:lpwstr>
  </property>
</Properties>
</file>