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stinreamer/Desktop/Dissertation Writing/"/>
    </mc:Choice>
  </mc:AlternateContent>
  <xr:revisionPtr revIDLastSave="0" documentId="13_ncr:1_{CA4CCD91-B224-034E-8C61-3B53A5E57CBA}" xr6:coauthVersionLast="47" xr6:coauthVersionMax="47" xr10:uidLastSave="{00000000-0000-0000-0000-000000000000}"/>
  <bookViews>
    <workbookView xWindow="7880" yWindow="500" windowWidth="25360" windowHeight="19780" xr2:uid="{98059192-71C3-C848-8EAB-026FC2D784BA}"/>
  </bookViews>
  <sheets>
    <sheet name="Table 1_Transitional Archaic" sheetId="12" r:id="rId1"/>
    <sheet name="Table 2  Early–Middle Woodland" sheetId="11" r:id="rId2"/>
    <sheet name="Table 3 Late Middle Woodland" sheetId="57" r:id="rId3"/>
    <sheet name="Table 4 Early Late Woodland" sheetId="7" r:id="rId4"/>
    <sheet name="Table 5 middle-Late Woodland" sheetId="5" r:id="rId5"/>
    <sheet name="Table6late-LateWoodland-Contact" sheetId="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0" i="1" l="1"/>
  <c r="F220" i="1"/>
  <c r="E220" i="1"/>
  <c r="I219" i="1"/>
  <c r="H219" i="1"/>
  <c r="G219" i="1"/>
  <c r="F219" i="1"/>
  <c r="E219" i="1"/>
  <c r="G218" i="1"/>
  <c r="F218" i="1"/>
  <c r="E216" i="1"/>
  <c r="G215" i="1"/>
  <c r="F215" i="1"/>
  <c r="E215" i="1"/>
  <c r="I214" i="1"/>
  <c r="H214" i="1"/>
  <c r="G214" i="1"/>
  <c r="F214" i="1"/>
  <c r="E214" i="1"/>
  <c r="I213" i="1"/>
  <c r="H213" i="1"/>
  <c r="G213" i="1"/>
  <c r="E213" i="1"/>
  <c r="I212" i="1"/>
  <c r="H212" i="1"/>
  <c r="G212" i="1"/>
  <c r="F212" i="1"/>
  <c r="E212" i="1"/>
  <c r="I211" i="1"/>
  <c r="H211" i="1"/>
  <c r="G211" i="1"/>
  <c r="F211" i="1"/>
  <c r="E211" i="1"/>
  <c r="I210" i="1"/>
  <c r="H210" i="1"/>
  <c r="E210" i="1"/>
  <c r="E208" i="1"/>
  <c r="I205" i="1"/>
  <c r="H205" i="1"/>
  <c r="G205" i="1"/>
  <c r="F205" i="1"/>
  <c r="E205" i="1"/>
  <c r="I72" i="5"/>
  <c r="G72" i="5"/>
  <c r="F72" i="5"/>
  <c r="E72" i="5"/>
  <c r="E42" i="57"/>
  <c r="G41" i="57"/>
  <c r="E41" i="57"/>
  <c r="I40" i="57"/>
  <c r="G40" i="57"/>
  <c r="F40" i="57"/>
  <c r="E40" i="57"/>
  <c r="I39" i="57"/>
  <c r="H39" i="57"/>
  <c r="E39" i="57"/>
  <c r="I33" i="57"/>
  <c r="H33" i="57"/>
  <c r="G33" i="57"/>
  <c r="F33" i="57"/>
  <c r="E33" i="57"/>
  <c r="I32" i="57"/>
  <c r="H32" i="57"/>
  <c r="G32" i="57"/>
  <c r="F32" i="57"/>
  <c r="E32" i="57"/>
  <c r="I31" i="57"/>
  <c r="H31" i="57"/>
  <c r="G31" i="57"/>
  <c r="F31" i="57"/>
  <c r="E31" i="57"/>
  <c r="I30" i="57"/>
  <c r="H30" i="57"/>
  <c r="G30" i="57"/>
  <c r="F30" i="57"/>
  <c r="E30" i="57"/>
  <c r="I29" i="57"/>
  <c r="H29" i="57"/>
  <c r="G29" i="57"/>
  <c r="F29" i="57"/>
  <c r="E29" i="57"/>
  <c r="E27" i="57"/>
  <c r="I26" i="57"/>
  <c r="H26" i="57"/>
  <c r="G26" i="57"/>
  <c r="F26" i="57"/>
  <c r="E26" i="57"/>
  <c r="I25" i="57"/>
  <c r="H25" i="57"/>
  <c r="G25" i="57"/>
  <c r="F25" i="57"/>
  <c r="E25" i="57"/>
  <c r="I24" i="57"/>
  <c r="H24" i="57"/>
  <c r="F24" i="57"/>
  <c r="E24" i="57"/>
  <c r="I18" i="57"/>
  <c r="E18" i="57"/>
  <c r="E14" i="57"/>
  <c r="E13" i="57"/>
  <c r="G8" i="57"/>
  <c r="E8" i="57"/>
  <c r="I7" i="57"/>
  <c r="E7" i="57"/>
  <c r="E6" i="57"/>
  <c r="I26" i="11" l="1"/>
  <c r="H26" i="11"/>
  <c r="G26" i="11"/>
  <c r="F26" i="11"/>
  <c r="H204" i="1" l="1"/>
  <c r="H203" i="1"/>
  <c r="H202" i="1"/>
  <c r="E9" i="7" l="1"/>
  <c r="E203" i="1"/>
  <c r="E202" i="1"/>
  <c r="H201" i="1"/>
  <c r="G201" i="1"/>
  <c r="F201" i="1"/>
  <c r="E201" i="1"/>
  <c r="I200" i="1"/>
  <c r="H200" i="1"/>
  <c r="G200" i="1"/>
  <c r="F200" i="1"/>
  <c r="E200" i="1"/>
  <c r="I198" i="1"/>
  <c r="H198" i="1"/>
  <c r="G198" i="1"/>
  <c r="F198" i="1"/>
  <c r="E198" i="1"/>
  <c r="K197" i="1"/>
  <c r="J197" i="1"/>
  <c r="I197" i="1"/>
  <c r="H197" i="1"/>
  <c r="G197" i="1"/>
  <c r="F197" i="1"/>
  <c r="E197" i="1"/>
  <c r="I196" i="1"/>
  <c r="H196" i="1"/>
  <c r="G196" i="1"/>
  <c r="F196" i="1"/>
  <c r="E196" i="1"/>
  <c r="I195" i="1"/>
  <c r="H195" i="1"/>
  <c r="G195" i="1"/>
  <c r="F195" i="1"/>
  <c r="E195" i="1"/>
  <c r="G194" i="1"/>
  <c r="F194" i="1"/>
  <c r="I193" i="1"/>
  <c r="H193" i="1"/>
  <c r="G193" i="1"/>
  <c r="F193" i="1"/>
  <c r="E193" i="1"/>
  <c r="I192" i="1"/>
  <c r="G192" i="1"/>
  <c r="F192" i="1"/>
  <c r="E192" i="1"/>
  <c r="H191" i="1"/>
  <c r="G191" i="1"/>
  <c r="F191" i="1"/>
  <c r="E191" i="1"/>
  <c r="I190" i="1"/>
  <c r="H190" i="1"/>
  <c r="G190" i="1"/>
  <c r="F190" i="1"/>
  <c r="E190" i="1"/>
  <c r="I189" i="1"/>
  <c r="H189" i="1"/>
  <c r="G189" i="1"/>
  <c r="F189" i="1"/>
  <c r="E189" i="1"/>
  <c r="I187" i="1"/>
  <c r="H187" i="1"/>
  <c r="G187" i="1"/>
  <c r="F187" i="1"/>
  <c r="E187" i="1"/>
  <c r="I186" i="1"/>
  <c r="H186" i="1"/>
  <c r="G186" i="1"/>
  <c r="F186" i="1"/>
  <c r="E186" i="1"/>
  <c r="I185" i="1"/>
  <c r="H185" i="1"/>
  <c r="G185" i="1"/>
  <c r="F185" i="1"/>
  <c r="E185" i="1"/>
  <c r="I184" i="1"/>
  <c r="H184" i="1"/>
  <c r="G184" i="1"/>
  <c r="F184" i="1"/>
  <c r="E184" i="1"/>
  <c r="I183" i="1"/>
  <c r="H183" i="1"/>
  <c r="G183" i="1"/>
  <c r="F183" i="1"/>
  <c r="E183" i="1"/>
  <c r="I182" i="1"/>
  <c r="H182" i="1"/>
  <c r="G182" i="1"/>
  <c r="F182" i="1"/>
  <c r="E182" i="1"/>
  <c r="I181" i="1"/>
  <c r="H181" i="1"/>
  <c r="G181" i="1"/>
  <c r="F181" i="1"/>
  <c r="E181" i="1"/>
  <c r="H180" i="1"/>
  <c r="G180" i="1"/>
  <c r="F180" i="1"/>
  <c r="E180" i="1"/>
  <c r="I179" i="1"/>
  <c r="H179" i="1"/>
  <c r="G179" i="1"/>
  <c r="F179" i="1"/>
  <c r="E179" i="1"/>
  <c r="F178" i="1"/>
  <c r="E178" i="1"/>
  <c r="I176" i="1"/>
  <c r="H176" i="1"/>
  <c r="G176" i="1"/>
  <c r="F176" i="1"/>
  <c r="E176" i="1"/>
  <c r="I174" i="1"/>
  <c r="H174" i="1"/>
  <c r="F174" i="1"/>
  <c r="E174" i="1"/>
  <c r="I173" i="1"/>
  <c r="H173" i="1"/>
  <c r="G173" i="1"/>
  <c r="F173" i="1"/>
  <c r="E173" i="1"/>
  <c r="I172" i="1"/>
  <c r="H172" i="1"/>
  <c r="G172" i="1"/>
  <c r="F172" i="1"/>
  <c r="E172" i="1"/>
  <c r="I171" i="1"/>
  <c r="H171" i="1"/>
  <c r="G171" i="1"/>
  <c r="F171" i="1"/>
  <c r="E171" i="1"/>
  <c r="I170" i="1"/>
  <c r="H170" i="1"/>
  <c r="G170" i="1"/>
  <c r="F170" i="1"/>
  <c r="E170" i="1"/>
  <c r="I169" i="1"/>
  <c r="G169" i="1"/>
  <c r="F169" i="1"/>
  <c r="E169" i="1"/>
  <c r="I168" i="1"/>
  <c r="H168" i="1"/>
  <c r="G168" i="1"/>
  <c r="F168" i="1"/>
  <c r="E168" i="1"/>
  <c r="I167" i="1"/>
  <c r="H167" i="1"/>
  <c r="G167" i="1"/>
  <c r="F167" i="1"/>
  <c r="E167" i="1"/>
  <c r="I166" i="1"/>
  <c r="H166" i="1"/>
  <c r="G166" i="1"/>
  <c r="F166" i="1"/>
  <c r="E166" i="1"/>
  <c r="I165" i="1"/>
  <c r="H165" i="1"/>
  <c r="G165" i="1"/>
  <c r="F165" i="1"/>
  <c r="E165" i="1"/>
  <c r="I164" i="1"/>
  <c r="H164" i="1"/>
  <c r="G164" i="1"/>
  <c r="F164" i="1"/>
  <c r="I163" i="1"/>
  <c r="G163" i="1"/>
  <c r="E163" i="1"/>
  <c r="I162" i="1"/>
  <c r="H162" i="1"/>
  <c r="G162" i="1"/>
  <c r="F162" i="1"/>
  <c r="E162" i="1"/>
  <c r="I161" i="1"/>
  <c r="H161" i="1"/>
  <c r="G161" i="1"/>
  <c r="F161" i="1"/>
  <c r="E161" i="1"/>
  <c r="E156" i="1"/>
  <c r="E154" i="1"/>
  <c r="G153" i="1"/>
  <c r="F153" i="1"/>
  <c r="E153" i="1"/>
  <c r="E152" i="1"/>
  <c r="G151" i="1"/>
  <c r="F151" i="1"/>
  <c r="E151" i="1"/>
  <c r="I150" i="1"/>
  <c r="H150" i="1"/>
  <c r="G150" i="1"/>
  <c r="F150" i="1"/>
  <c r="E150" i="1"/>
  <c r="I149" i="1"/>
  <c r="H149" i="1"/>
  <c r="G149" i="1"/>
  <c r="F149" i="1"/>
  <c r="E149" i="1"/>
  <c r="E148" i="1"/>
  <c r="I147" i="1"/>
  <c r="H147" i="1"/>
  <c r="G147" i="1"/>
  <c r="F147" i="1"/>
  <c r="E147" i="1"/>
  <c r="E145" i="1"/>
  <c r="I144" i="1"/>
  <c r="H144" i="1"/>
  <c r="G144" i="1"/>
  <c r="F144" i="1"/>
  <c r="E144" i="1"/>
  <c r="G143" i="1"/>
  <c r="F143" i="1"/>
  <c r="I142" i="1"/>
  <c r="H142" i="1"/>
  <c r="G142" i="1"/>
  <c r="F142" i="1"/>
  <c r="E142" i="1"/>
  <c r="I141" i="1"/>
  <c r="H141" i="1"/>
  <c r="G141" i="1"/>
  <c r="F141" i="1"/>
  <c r="E141" i="1"/>
  <c r="I140" i="1"/>
  <c r="H140" i="1"/>
  <c r="G140" i="1"/>
  <c r="F140" i="1"/>
  <c r="E140" i="1"/>
  <c r="I139" i="1"/>
  <c r="H139" i="1"/>
  <c r="G139" i="1"/>
  <c r="F139" i="1"/>
  <c r="E139" i="1"/>
  <c r="I138" i="1"/>
  <c r="H138" i="1"/>
  <c r="G138" i="1"/>
  <c r="F138" i="1"/>
  <c r="E138" i="1"/>
  <c r="I137" i="1"/>
  <c r="H137" i="1"/>
  <c r="G137" i="1"/>
  <c r="F137" i="1"/>
  <c r="E137" i="1"/>
  <c r="I136" i="1"/>
  <c r="H136" i="1"/>
  <c r="G136" i="1"/>
  <c r="F136" i="1"/>
  <c r="E136" i="1"/>
  <c r="I135" i="1"/>
  <c r="H135" i="1"/>
  <c r="G135" i="1"/>
  <c r="F135" i="1"/>
  <c r="E135" i="1"/>
  <c r="H134" i="1"/>
  <c r="G134" i="1"/>
  <c r="F134" i="1"/>
  <c r="E134" i="1"/>
  <c r="I133" i="1"/>
  <c r="G133" i="1"/>
  <c r="F133" i="1"/>
  <c r="E133" i="1"/>
  <c r="I132" i="1"/>
  <c r="G132" i="1"/>
  <c r="F132" i="1"/>
  <c r="E132" i="1"/>
  <c r="I131" i="1"/>
  <c r="H131" i="1"/>
  <c r="G131" i="1"/>
  <c r="F131" i="1"/>
  <c r="E131" i="1"/>
  <c r="I130" i="1"/>
  <c r="H130" i="1"/>
  <c r="G130" i="1"/>
  <c r="F130" i="1"/>
  <c r="E130" i="1"/>
  <c r="I129" i="1"/>
  <c r="H129" i="1"/>
  <c r="G129" i="1"/>
  <c r="F129" i="1"/>
  <c r="E129" i="1"/>
  <c r="E128" i="1"/>
  <c r="E125" i="1"/>
  <c r="G124" i="1"/>
  <c r="F124" i="1"/>
  <c r="E124" i="1"/>
  <c r="I123" i="1"/>
  <c r="G123" i="1"/>
  <c r="F123" i="1"/>
  <c r="E123" i="1"/>
  <c r="I122" i="1"/>
  <c r="H122" i="1"/>
  <c r="G122" i="1"/>
  <c r="F122" i="1"/>
  <c r="E122" i="1"/>
  <c r="I121" i="1"/>
  <c r="H121" i="1"/>
  <c r="G121" i="1"/>
  <c r="F121" i="1"/>
  <c r="E121" i="1"/>
  <c r="G120" i="1"/>
  <c r="F120" i="1"/>
  <c r="E120" i="1"/>
  <c r="F118" i="1"/>
  <c r="E118" i="1"/>
  <c r="I117" i="1"/>
  <c r="G117" i="1"/>
  <c r="F117" i="1"/>
  <c r="E117" i="1"/>
  <c r="I116" i="1"/>
  <c r="G116" i="1"/>
  <c r="I115" i="1"/>
  <c r="H115" i="1"/>
  <c r="G115" i="1"/>
  <c r="F115" i="1"/>
  <c r="E115" i="1"/>
  <c r="I114" i="1"/>
  <c r="H114" i="1"/>
  <c r="G114" i="1"/>
  <c r="F114" i="1"/>
  <c r="E114" i="1"/>
  <c r="I113" i="1"/>
  <c r="H113" i="1"/>
  <c r="G113" i="1"/>
  <c r="F113" i="1"/>
  <c r="E113" i="1"/>
  <c r="I112" i="1"/>
  <c r="H112" i="1"/>
  <c r="G112" i="1"/>
  <c r="F112" i="1"/>
  <c r="E112" i="1"/>
  <c r="I111" i="1"/>
  <c r="H111" i="1"/>
  <c r="G111" i="1"/>
  <c r="F111" i="1"/>
  <c r="E111" i="1"/>
  <c r="I110" i="1"/>
  <c r="H110" i="1"/>
  <c r="G110" i="1"/>
  <c r="F110" i="1"/>
  <c r="E110" i="1"/>
  <c r="I109" i="1"/>
  <c r="H109" i="1"/>
  <c r="G109" i="1"/>
  <c r="F109" i="1"/>
  <c r="E109" i="1"/>
  <c r="I108" i="1"/>
  <c r="H108" i="1"/>
  <c r="G108" i="1"/>
  <c r="F108" i="1"/>
  <c r="E108" i="1"/>
  <c r="I107" i="1"/>
  <c r="H107" i="1"/>
  <c r="G107" i="1"/>
  <c r="E107" i="1"/>
  <c r="I106" i="1"/>
  <c r="H106" i="1"/>
  <c r="G106" i="1"/>
  <c r="F106" i="1"/>
  <c r="E106" i="1"/>
  <c r="I105" i="1"/>
  <c r="H105" i="1"/>
  <c r="G105" i="1"/>
  <c r="F105" i="1"/>
  <c r="E105" i="1"/>
  <c r="I104" i="1"/>
  <c r="H104" i="1"/>
  <c r="G104" i="1"/>
  <c r="F104" i="1"/>
  <c r="E104" i="1"/>
  <c r="I103" i="1"/>
  <c r="H103" i="1"/>
  <c r="G103" i="1"/>
  <c r="F103" i="1"/>
  <c r="E103" i="1"/>
  <c r="I102" i="1"/>
  <c r="H102" i="1"/>
  <c r="G102" i="1"/>
  <c r="F102" i="1"/>
  <c r="E102" i="1"/>
  <c r="I101" i="1"/>
  <c r="H101" i="1"/>
  <c r="G101" i="1"/>
  <c r="F101" i="1"/>
  <c r="E101" i="1"/>
  <c r="I100" i="1"/>
  <c r="H100" i="1"/>
  <c r="G100" i="1"/>
  <c r="F100" i="1"/>
  <c r="E100" i="1"/>
  <c r="I99" i="1"/>
  <c r="H99" i="1"/>
  <c r="G99" i="1"/>
  <c r="F99" i="1"/>
  <c r="E99" i="1"/>
  <c r="I96" i="1"/>
  <c r="H96" i="1"/>
  <c r="G96" i="1"/>
  <c r="F96" i="1"/>
  <c r="E96" i="1"/>
  <c r="I95" i="1"/>
  <c r="H95" i="1"/>
  <c r="G95" i="1"/>
  <c r="F95" i="1"/>
  <c r="E95" i="1"/>
  <c r="I94" i="1"/>
  <c r="H94" i="1"/>
  <c r="G94" i="1"/>
  <c r="F94" i="1"/>
  <c r="E94" i="1"/>
  <c r="I92" i="1"/>
  <c r="H92" i="1"/>
  <c r="G92" i="1"/>
  <c r="F92" i="1"/>
  <c r="E92" i="1"/>
  <c r="I91" i="1"/>
  <c r="H91" i="1"/>
  <c r="G91" i="1"/>
  <c r="F91" i="1"/>
  <c r="E91" i="1"/>
  <c r="I90" i="1"/>
  <c r="H90" i="1"/>
  <c r="G90" i="1"/>
  <c r="F90" i="1"/>
  <c r="E90" i="1"/>
  <c r="I89" i="1"/>
  <c r="H89" i="1"/>
  <c r="G89" i="1"/>
  <c r="F89" i="1"/>
  <c r="E89" i="1"/>
  <c r="I88" i="1"/>
  <c r="H88" i="1"/>
  <c r="G88" i="1"/>
  <c r="F88" i="1"/>
  <c r="E88" i="1"/>
  <c r="E87" i="1"/>
  <c r="I86" i="1"/>
  <c r="H86" i="1"/>
  <c r="G86" i="1"/>
  <c r="F86" i="1"/>
  <c r="E86" i="1"/>
  <c r="I85" i="1"/>
  <c r="E85" i="1"/>
  <c r="I84" i="1"/>
  <c r="G84" i="1"/>
  <c r="F84" i="1"/>
  <c r="E84" i="1"/>
  <c r="I83" i="1"/>
  <c r="H83" i="1"/>
  <c r="G83" i="1"/>
  <c r="F83" i="1"/>
  <c r="E83" i="1"/>
  <c r="I82" i="1"/>
  <c r="H82" i="1"/>
  <c r="G82" i="1"/>
  <c r="F82" i="1"/>
  <c r="E82" i="1"/>
  <c r="I81" i="1"/>
  <c r="G81" i="1"/>
  <c r="F81" i="1"/>
  <c r="E81" i="1"/>
  <c r="I80" i="1"/>
  <c r="F80" i="1"/>
  <c r="E80" i="1"/>
  <c r="E78" i="1"/>
  <c r="I77" i="1"/>
  <c r="H77" i="1"/>
  <c r="G77" i="1"/>
  <c r="F77" i="1"/>
  <c r="E77" i="1"/>
  <c r="I76" i="1"/>
  <c r="H76" i="1"/>
  <c r="G76" i="1"/>
  <c r="F76" i="1"/>
  <c r="E76" i="1"/>
  <c r="I75" i="1"/>
  <c r="H75" i="1"/>
  <c r="G75" i="1"/>
  <c r="F75" i="1"/>
  <c r="E75" i="1"/>
  <c r="I74" i="1"/>
  <c r="H74" i="1"/>
  <c r="G74" i="1"/>
  <c r="F74" i="1"/>
  <c r="E74" i="1"/>
  <c r="I73" i="1"/>
  <c r="G73" i="1"/>
  <c r="F73" i="1"/>
  <c r="E73" i="1"/>
  <c r="E72" i="1"/>
  <c r="I71" i="1"/>
  <c r="G71" i="1"/>
  <c r="F71" i="1"/>
  <c r="E71" i="1"/>
  <c r="I70" i="1"/>
  <c r="H70" i="1"/>
  <c r="G70" i="1"/>
  <c r="F70" i="1"/>
  <c r="E70" i="1"/>
  <c r="I69" i="1"/>
  <c r="G69" i="1"/>
  <c r="F69" i="1"/>
  <c r="E69" i="1"/>
  <c r="I68" i="1"/>
  <c r="G68" i="1"/>
  <c r="F68" i="1"/>
  <c r="E68" i="1"/>
  <c r="I67" i="1"/>
  <c r="G67" i="1"/>
  <c r="F67" i="1"/>
  <c r="E67" i="1"/>
  <c r="I66" i="1"/>
  <c r="G66" i="1"/>
  <c r="F66" i="1"/>
  <c r="E66" i="1"/>
  <c r="G64" i="1"/>
  <c r="E64" i="1"/>
  <c r="E63" i="1"/>
  <c r="I62" i="1"/>
  <c r="H62" i="1"/>
  <c r="G62" i="1"/>
  <c r="F62" i="1"/>
  <c r="E62" i="1"/>
  <c r="I61" i="1"/>
  <c r="H61" i="1"/>
  <c r="G61" i="1"/>
  <c r="F61" i="1"/>
  <c r="E61" i="1"/>
  <c r="I60" i="1"/>
  <c r="G60" i="1"/>
  <c r="F60" i="1"/>
  <c r="E60" i="1"/>
  <c r="I59" i="1"/>
  <c r="G59" i="1"/>
  <c r="E59" i="1"/>
  <c r="I58" i="1"/>
  <c r="G58" i="1"/>
  <c r="F58" i="1"/>
  <c r="E58" i="1"/>
  <c r="E57" i="1"/>
  <c r="E56" i="1"/>
  <c r="E53" i="1"/>
  <c r="E52" i="1"/>
  <c r="F50" i="1"/>
  <c r="E50" i="1"/>
  <c r="G49" i="1"/>
  <c r="G45" i="1"/>
  <c r="F45" i="1"/>
  <c r="G44" i="1"/>
  <c r="F44" i="1"/>
  <c r="E44" i="1"/>
  <c r="G41" i="1"/>
  <c r="F41" i="1"/>
  <c r="E41" i="1"/>
  <c r="G38" i="1"/>
  <c r="E38" i="1"/>
  <c r="I36" i="1"/>
  <c r="F36" i="1"/>
  <c r="E36" i="1"/>
  <c r="G35" i="1"/>
  <c r="E35" i="1"/>
  <c r="E32" i="1"/>
  <c r="I31" i="1"/>
  <c r="E31" i="1"/>
  <c r="G30" i="1"/>
  <c r="F30" i="1"/>
  <c r="E30" i="1"/>
  <c r="E29" i="1"/>
  <c r="F28" i="1"/>
  <c r="E28" i="1"/>
  <c r="I27" i="1"/>
  <c r="G27" i="1"/>
  <c r="F27" i="1"/>
  <c r="E27" i="1"/>
  <c r="G26" i="1"/>
  <c r="F26" i="1"/>
  <c r="E26" i="1"/>
  <c r="E25" i="1"/>
  <c r="G24" i="1"/>
  <c r="F24" i="1"/>
  <c r="F22" i="1"/>
  <c r="I21" i="1"/>
  <c r="H21" i="1"/>
  <c r="G21" i="1"/>
  <c r="F21" i="1"/>
  <c r="E21" i="1"/>
  <c r="I20" i="1"/>
  <c r="G20" i="1"/>
  <c r="F20" i="1"/>
  <c r="E20" i="1"/>
  <c r="I19" i="1"/>
  <c r="H19" i="1"/>
  <c r="G19" i="1"/>
  <c r="F19" i="1"/>
  <c r="E19" i="1"/>
  <c r="I17" i="1"/>
  <c r="H17" i="1"/>
  <c r="G17" i="1"/>
  <c r="F17" i="1"/>
  <c r="E17" i="1"/>
  <c r="E16" i="1"/>
  <c r="I15" i="1"/>
  <c r="G15" i="1"/>
  <c r="E15" i="1"/>
  <c r="I11" i="1"/>
  <c r="H11" i="1"/>
  <c r="F11" i="1"/>
  <c r="E11" i="1"/>
  <c r="F10" i="1"/>
  <c r="E10" i="1"/>
  <c r="F8" i="1"/>
  <c r="E8" i="1"/>
  <c r="I5" i="1"/>
  <c r="E5" i="1"/>
  <c r="I23" i="7" l="1"/>
  <c r="H23" i="7"/>
  <c r="G23" i="7"/>
  <c r="F23" i="7"/>
  <c r="E23" i="7"/>
  <c r="I22" i="7"/>
  <c r="H22" i="7"/>
  <c r="G22" i="7"/>
  <c r="F22" i="7"/>
  <c r="E22" i="7"/>
  <c r="I20" i="7"/>
  <c r="E20" i="7"/>
  <c r="E19" i="7"/>
  <c r="I62" i="5"/>
  <c r="H62" i="5"/>
  <c r="G62" i="5"/>
  <c r="F62" i="5"/>
  <c r="E62" i="5"/>
  <c r="I56" i="5"/>
  <c r="H56" i="5"/>
  <c r="G56" i="5"/>
  <c r="F56" i="5"/>
  <c r="E56" i="5"/>
  <c r="BE55" i="5"/>
  <c r="G55" i="5"/>
  <c r="F55" i="5"/>
  <c r="E55" i="5"/>
  <c r="E54" i="5"/>
  <c r="G53" i="5"/>
  <c r="F53" i="5"/>
  <c r="E53" i="5"/>
  <c r="E8" i="12"/>
  <c r="K8" i="12"/>
  <c r="H48" i="5"/>
  <c r="G48" i="5"/>
  <c r="F48" i="5"/>
  <c r="E48" i="5"/>
  <c r="F47" i="5"/>
  <c r="E47" i="5"/>
  <c r="I46" i="5"/>
  <c r="G46" i="5"/>
  <c r="F46" i="5"/>
  <c r="E46" i="5"/>
  <c r="I45" i="5"/>
  <c r="H45" i="5"/>
  <c r="G45" i="5"/>
  <c r="F45" i="5"/>
  <c r="E45" i="5"/>
  <c r="I44" i="5"/>
  <c r="H44" i="5"/>
  <c r="G44" i="5"/>
  <c r="F44" i="5"/>
  <c r="E44" i="5"/>
  <c r="I43" i="5"/>
  <c r="H43" i="5"/>
  <c r="G43" i="5"/>
  <c r="F43" i="5"/>
  <c r="E42" i="5"/>
  <c r="I41" i="5"/>
  <c r="H41" i="5"/>
  <c r="G41" i="5"/>
  <c r="F41" i="5"/>
  <c r="E41" i="5"/>
  <c r="I40" i="5"/>
  <c r="H40" i="5"/>
  <c r="G40" i="5"/>
  <c r="F40" i="5"/>
  <c r="E40" i="5"/>
  <c r="I39" i="5"/>
  <c r="H39" i="5"/>
  <c r="G39" i="5"/>
  <c r="E39" i="5"/>
  <c r="I38" i="5"/>
  <c r="H38" i="5"/>
  <c r="G38" i="5"/>
  <c r="F38" i="5"/>
  <c r="E38" i="5"/>
  <c r="G37" i="5"/>
  <c r="E37" i="5"/>
  <c r="G20" i="11"/>
  <c r="F20" i="11"/>
  <c r="E20" i="11"/>
  <c r="I33" i="5" l="1"/>
  <c r="E16" i="7"/>
  <c r="G13" i="7"/>
  <c r="E13" i="7"/>
  <c r="I17" i="5"/>
  <c r="H17" i="5"/>
  <c r="G17" i="5"/>
  <c r="F17" i="5"/>
  <c r="E17" i="5"/>
  <c r="H16" i="5"/>
  <c r="G16" i="5"/>
  <c r="F16" i="5"/>
  <c r="E16" i="5"/>
  <c r="E14" i="5"/>
  <c r="G13" i="5"/>
  <c r="E13" i="5"/>
  <c r="F12" i="5"/>
  <c r="E12" i="5"/>
  <c r="I11" i="5"/>
  <c r="G11" i="5"/>
  <c r="F11" i="5"/>
  <c r="E11" i="5"/>
  <c r="I7" i="7"/>
  <c r="H7" i="7"/>
  <c r="F7" i="7"/>
  <c r="E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tc={E5BCF919-B657-DF4A-8DFA-B2498BCF2C22}</author>
  </authors>
  <commentList>
    <comment ref="AQ11" authorId="0" shapeId="0" xr:uid="{E5BCF919-B657-DF4A-8DFA-B2498BCF2C22}">
      <text>
        <t>[Threaded comment]
Your version of Excel allows you to read this threaded comment; however, any edits to it will get removed if the file is opened in a newer version of Excel. Learn more: https://go.microsoft.com/fwlink/?linkid=870924
Comment:
    Double check, likely spurge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tc={98EF4C80-EED6-3F4B-865B-6C4340A4E76A}</author>
    <author>tc={3FC2E2DD-F4C1-0A48-91F0-4F06E9261683}</author>
    <author>tc={34AC100E-11CC-2347-AFED-C600BBB13E6C}</author>
  </authors>
  <commentList>
    <comment ref="BY172" authorId="0" shapeId="0" xr:uid="{98EF4C80-EED6-3F4B-865B-6C4340A4E76A}">
      <text>
        <t>[Threaded comment]
Your version of Excel allows you to read this threaded comment; however, any edits to it will get removed if the file is opened in a newer version of Excel. Learn more: https://go.microsoft.com/fwlink/?linkid=870924
Comment:
    cf Panicum</t>
      </text>
    </comment>
    <comment ref="BY173" authorId="1" shapeId="0" xr:uid="{3FC2E2DD-F4C1-0A48-91F0-4F06E9261683}">
      <text>
        <t>[Threaded comment]
Your version of Excel allows you to read this threaded comment; however, any edits to it will get removed if the file is opened in a newer version of Excel. Learn more: https://go.microsoft.com/fwlink/?linkid=870924
Comment:
    cf Panicum</t>
      </text>
    </comment>
    <comment ref="BY174" authorId="2" shapeId="0" xr:uid="{34AC100E-11CC-2347-AFED-C600BBB13E6C}">
      <text>
        <t>[Threaded comment]
Your version of Excel allows you to read this threaded comment; however, any edits to it will get removed if the file is opened in a newer version of Excel. Learn more: https://go.microsoft.com/fwlink/?linkid=870924
Comment:
    cf Phalaris</t>
      </text>
    </comment>
  </commentList>
</comments>
</file>

<file path=xl/sharedStrings.xml><?xml version="1.0" encoding="utf-8"?>
<sst xmlns="http://schemas.openxmlformats.org/spreadsheetml/2006/main" count="2201" uniqueCount="712">
  <si>
    <t>Context</t>
  </si>
  <si>
    <t>Catalog Numbers</t>
  </si>
  <si>
    <t>Unit and Feature</t>
  </si>
  <si>
    <t>Strata and Level</t>
  </si>
  <si>
    <t>Sample Volume</t>
  </si>
  <si>
    <t>Sample Weight (g) (HF+LF)</t>
  </si>
  <si>
    <t>Contaminants (g)</t>
  </si>
  <si>
    <t>Residue (g)</t>
  </si>
  <si>
    <t>Arch Material (g)</t>
  </si>
  <si>
    <t>Wood Charcoal (g)</t>
  </si>
  <si>
    <t>Sample Data</t>
  </si>
  <si>
    <t>Seeds Identified Count and weight</t>
  </si>
  <si>
    <t>Zea mays</t>
  </si>
  <si>
    <t>Zea Mays (g)</t>
  </si>
  <si>
    <t>132109-132110</t>
  </si>
  <si>
    <t>EU5 F14</t>
  </si>
  <si>
    <t>Strat 1 Lvl 1</t>
  </si>
  <si>
    <t>nutshell unid</t>
  </si>
  <si>
    <t>nutshell (g)</t>
  </si>
  <si>
    <t>nutmeat</t>
  </si>
  <si>
    <t>nutmeat (g)</t>
  </si>
  <si>
    <t>&lt;.01</t>
  </si>
  <si>
    <t>EU5 F13</t>
  </si>
  <si>
    <t>Strat 2 Lvl 2</t>
  </si>
  <si>
    <t>132103-132104</t>
  </si>
  <si>
    <t>Actaea racemosa</t>
  </si>
  <si>
    <t>131653-131654</t>
  </si>
  <si>
    <t>STP 21 F43</t>
  </si>
  <si>
    <t>STP 21 F42</t>
  </si>
  <si>
    <t>Strat 1 lvl 1</t>
  </si>
  <si>
    <t>STP 21 F44</t>
  </si>
  <si>
    <t>131658-131659</t>
  </si>
  <si>
    <t>Strat 2 Lvl 1</t>
  </si>
  <si>
    <t>132025-132026</t>
  </si>
  <si>
    <t>EU5</t>
  </si>
  <si>
    <t>Strat 3 Lvl 1</t>
  </si>
  <si>
    <t>2L?</t>
  </si>
  <si>
    <t>132029-132030</t>
  </si>
  <si>
    <t>Strat 3 Lvl 2</t>
  </si>
  <si>
    <t>1?</t>
  </si>
  <si>
    <t>132036-132037</t>
  </si>
  <si>
    <t xml:space="preserve">EU5 </t>
  </si>
  <si>
    <t>Strat 3 Lvl 3</t>
  </si>
  <si>
    <t>132038-132039</t>
  </si>
  <si>
    <t>Strat 3 Lvl 4</t>
  </si>
  <si>
    <t>132042-132043</t>
  </si>
  <si>
    <t>Strat 3 Lvl 5</t>
  </si>
  <si>
    <t>Cheno-am</t>
  </si>
  <si>
    <t>Unidentified</t>
  </si>
  <si>
    <t>Unidentified plant matter</t>
  </si>
  <si>
    <t>132050, 132051</t>
  </si>
  <si>
    <t>Eu 5</t>
  </si>
  <si>
    <t>Strat 4, Lvl 1</t>
  </si>
  <si>
    <t>Strat 4, Lvl 2</t>
  </si>
  <si>
    <t>132052, 132053</t>
  </si>
  <si>
    <t>132054, 132055</t>
  </si>
  <si>
    <t>Strat 4, Lvl 3</t>
  </si>
  <si>
    <t>132047, 132048</t>
  </si>
  <si>
    <t>Strat 3, lvl 6</t>
  </si>
  <si>
    <t>Strat 1 Lvl 2</t>
  </si>
  <si>
    <t>unidentified plant matter</t>
  </si>
  <si>
    <t>hickory/walnut</t>
  </si>
  <si>
    <t>EU 5 F13</t>
  </si>
  <si>
    <t>Strat 1 Lvl 3</t>
  </si>
  <si>
    <t>132065-132069</t>
  </si>
  <si>
    <t>132074-132077</t>
  </si>
  <si>
    <t>Strat 1 Lvl 4</t>
  </si>
  <si>
    <t>Poacae</t>
  </si>
  <si>
    <t>132085-132089</t>
  </si>
  <si>
    <t>Strat 1 Lvl 5</t>
  </si>
  <si>
    <t>132101-132102</t>
  </si>
  <si>
    <t>132096-132100</t>
  </si>
  <si>
    <t>Strat 1 Lvl 6</t>
  </si>
  <si>
    <t>flower bud</t>
  </si>
  <si>
    <t>cf Asteracea</t>
  </si>
  <si>
    <t>132262-132264</t>
  </si>
  <si>
    <t>EU 7 F25</t>
  </si>
  <si>
    <t>132266-132269</t>
  </si>
  <si>
    <t>13227-132272</t>
  </si>
  <si>
    <t>Eu 7 F31</t>
  </si>
  <si>
    <t>Strt 1 Lvl 1</t>
  </si>
  <si>
    <t>EU 7 F31</t>
  </si>
  <si>
    <t>132279-132280</t>
  </si>
  <si>
    <t>132277-132278</t>
  </si>
  <si>
    <t>132284-132286</t>
  </si>
  <si>
    <t>132287-132288, 132290</t>
  </si>
  <si>
    <t>EU7 F31</t>
  </si>
  <si>
    <t>132292-132295</t>
  </si>
  <si>
    <t>132298-132300</t>
  </si>
  <si>
    <t>Strat 1 Lvl 7</t>
  </si>
  <si>
    <t>modern seeds</t>
  </si>
  <si>
    <t>132302-132306</t>
  </si>
  <si>
    <t>Strat 1 Lvl 8</t>
  </si>
  <si>
    <t>132207-132309</t>
  </si>
  <si>
    <t>132312-132313</t>
  </si>
  <si>
    <t>Strat 1 Lvl 10</t>
  </si>
  <si>
    <t>132315-132317</t>
  </si>
  <si>
    <t>Strat 1 Lvl 11</t>
  </si>
  <si>
    <t>132318-132319</t>
  </si>
  <si>
    <t>Strat 1 Lvl 12</t>
  </si>
  <si>
    <t>Strat 1 Lvl 13</t>
  </si>
  <si>
    <t>132328-132329</t>
  </si>
  <si>
    <t>Strat 2 Lvl 3</t>
  </si>
  <si>
    <t>132332-132334</t>
  </si>
  <si>
    <t>Strat 2 Lvl 4</t>
  </si>
  <si>
    <t>EU25 &amp; EU 7 F31</t>
  </si>
  <si>
    <t>Bulk</t>
  </si>
  <si>
    <t>132462-132464</t>
  </si>
  <si>
    <t>EU9 F12</t>
  </si>
  <si>
    <t>132465-132466</t>
  </si>
  <si>
    <t>132467, 132451</t>
  </si>
  <si>
    <t>132471-132472</t>
  </si>
  <si>
    <t>132475-132476</t>
  </si>
  <si>
    <t>EU9 F27</t>
  </si>
  <si>
    <t>132473-132474</t>
  </si>
  <si>
    <t>EU9 F17</t>
  </si>
  <si>
    <t>Strat 7 Lvl 1</t>
  </si>
  <si>
    <t>132477-132480</t>
  </si>
  <si>
    <t>132481-132482</t>
  </si>
  <si>
    <t>132484-132485</t>
  </si>
  <si>
    <t>132486-132487</t>
  </si>
  <si>
    <t>EU9 F39</t>
  </si>
  <si>
    <t>132583-132584</t>
  </si>
  <si>
    <t>EU12 F17</t>
  </si>
  <si>
    <t>132585-132586</t>
  </si>
  <si>
    <t>Prunella vulgaris</t>
  </si>
  <si>
    <t>132587-132588</t>
  </si>
  <si>
    <t>132589-132590</t>
  </si>
  <si>
    <t>132591-132592</t>
  </si>
  <si>
    <t>132593-132594</t>
  </si>
  <si>
    <t>132595-132596</t>
  </si>
  <si>
    <t>Strat 4 Lvl 1</t>
  </si>
  <si>
    <t>132597-132598</t>
  </si>
  <si>
    <t>Strat 4 Lvl 2</t>
  </si>
  <si>
    <t>Strat 4 Lvl 3</t>
  </si>
  <si>
    <t>132601-132602</t>
  </si>
  <si>
    <t>Strat 4 Lvl 5</t>
  </si>
  <si>
    <t>132599-132600</t>
  </si>
  <si>
    <t>132603-132604</t>
  </si>
  <si>
    <t>Strat 4 Level 6</t>
  </si>
  <si>
    <t>132605-132606</t>
  </si>
  <si>
    <t>Strat 4 Lvl 7</t>
  </si>
  <si>
    <t>132256-132257</t>
  </si>
  <si>
    <t>EU7</t>
  </si>
  <si>
    <t>132254-132255</t>
  </si>
  <si>
    <t>Strat 3,Lvl 7</t>
  </si>
  <si>
    <t>EU 7</t>
  </si>
  <si>
    <t>132246-132249</t>
  </si>
  <si>
    <t>Hickory/Walnut</t>
  </si>
  <si>
    <t>Hickory/Walnut (g)</t>
  </si>
  <si>
    <t>132236-132237</t>
  </si>
  <si>
    <t>EU 6</t>
  </si>
  <si>
    <t>.</t>
  </si>
  <si>
    <t>132-175-132176</t>
  </si>
  <si>
    <t>132457-132458</t>
  </si>
  <si>
    <t>EU 9</t>
  </si>
  <si>
    <t>Strat 9, Lvl 1</t>
  </si>
  <si>
    <t>132453-132454</t>
  </si>
  <si>
    <t>Strat 8 Lvl 1</t>
  </si>
  <si>
    <t>Strat 7 lvl 1</t>
  </si>
  <si>
    <t>Strat 6 lvl 1</t>
  </si>
  <si>
    <t>132447-132448</t>
  </si>
  <si>
    <t>132445-132446</t>
  </si>
  <si>
    <t>Strat 5 lvl 3</t>
  </si>
  <si>
    <t>132443-132444</t>
  </si>
  <si>
    <t>Strat 5 lvl 2</t>
  </si>
  <si>
    <t>132441-132442</t>
  </si>
  <si>
    <t>Strat 5 lvl 1</t>
  </si>
  <si>
    <t>132439-132440</t>
  </si>
  <si>
    <t>132437-132438</t>
  </si>
  <si>
    <t>Strat 4 lvl 1</t>
  </si>
  <si>
    <t>132374-132375</t>
  </si>
  <si>
    <t>EU 8</t>
  </si>
  <si>
    <t>Strat 4 Lvl 4</t>
  </si>
  <si>
    <t>132380-132381</t>
  </si>
  <si>
    <t>Strat 4 lvl 7</t>
  </si>
  <si>
    <t>132382-132383</t>
  </si>
  <si>
    <t>Strat 4 Lvl 8</t>
  </si>
  <si>
    <t>132384-132385</t>
  </si>
  <si>
    <t>Strat 4 lvl 9</t>
  </si>
  <si>
    <t>132-376-132377</t>
  </si>
  <si>
    <t>Strat 4 lvl 5</t>
  </si>
  <si>
    <t>132378-132379</t>
  </si>
  <si>
    <t>Strat 4 lvl 6</t>
  </si>
  <si>
    <t>132388-132389</t>
  </si>
  <si>
    <t>EU 5</t>
  </si>
  <si>
    <t>Strat 5 Lvl 3</t>
  </si>
  <si>
    <t>132433-132434</t>
  </si>
  <si>
    <t>Strat 3 lvl 5</t>
  </si>
  <si>
    <t>EU 10</t>
  </si>
  <si>
    <t>132507-132508</t>
  </si>
  <si>
    <t>132512-132513</t>
  </si>
  <si>
    <t>Strat 8 lvl 2</t>
  </si>
  <si>
    <t>132514-132515</t>
  </si>
  <si>
    <t>132578-132579</t>
  </si>
  <si>
    <t>EU 12</t>
  </si>
  <si>
    <t>132580-132581</t>
  </si>
  <si>
    <t>Strat 8 lvl 3</t>
  </si>
  <si>
    <t>EU 13</t>
  </si>
  <si>
    <t>Strat 4 lvl 2</t>
  </si>
  <si>
    <t>hickory/walnut (g)</t>
  </si>
  <si>
    <t>132669-132673</t>
  </si>
  <si>
    <t>132675-132677</t>
  </si>
  <si>
    <t>Strat 6 Lvl 2</t>
  </si>
  <si>
    <t>132678-132679</t>
  </si>
  <si>
    <t>Strat 6 Lvl 3</t>
  </si>
  <si>
    <t>132680-132681</t>
  </si>
  <si>
    <t>Strat 6 Lvl 4</t>
  </si>
  <si>
    <t>132682-132683</t>
  </si>
  <si>
    <t>Strat 7 lvl 2</t>
  </si>
  <si>
    <t>132652-132654</t>
  </si>
  <si>
    <t>132168-132169</t>
  </si>
  <si>
    <t>132644-132645</t>
  </si>
  <si>
    <t>132728-132732</t>
  </si>
  <si>
    <t>EU 14</t>
  </si>
  <si>
    <t>Strat 3 lvl 1</t>
  </si>
  <si>
    <t>132749-132752</t>
  </si>
  <si>
    <t>132759-132762</t>
  </si>
  <si>
    <t>132771-132773</t>
  </si>
  <si>
    <t>13278-132782</t>
  </si>
  <si>
    <t>Strat 3 Lvl 6</t>
  </si>
  <si>
    <t>132789-132791</t>
  </si>
  <si>
    <t>Strat 3 lvl 7</t>
  </si>
  <si>
    <t>132796-132798</t>
  </si>
  <si>
    <t>Strat 3 Lvl 8</t>
  </si>
  <si>
    <t>132800-132801</t>
  </si>
  <si>
    <t>132428-132429</t>
  </si>
  <si>
    <t>EU 29 F 86</t>
  </si>
  <si>
    <t>Strat 2 lvl 1</t>
  </si>
  <si>
    <t>132470-132471</t>
  </si>
  <si>
    <t>EU 30 F91</t>
  </si>
  <si>
    <t>EU 32+44 F 67</t>
  </si>
  <si>
    <t>Strat 5+6</t>
  </si>
  <si>
    <t>133513-133514</t>
  </si>
  <si>
    <t>EU 31 F59</t>
  </si>
  <si>
    <t>133515-133516</t>
  </si>
  <si>
    <t>EU 31 F60</t>
  </si>
  <si>
    <t>EU 31 F 61</t>
  </si>
  <si>
    <t>133519-133520</t>
  </si>
  <si>
    <t>EU 31 F63</t>
  </si>
  <si>
    <t>Strat 6 Lvl 1</t>
  </si>
  <si>
    <t>133521-133522</t>
  </si>
  <si>
    <t>EU 31 F64</t>
  </si>
  <si>
    <t>133416-133417</t>
  </si>
  <si>
    <t>EU 28</t>
  </si>
  <si>
    <t>EU 29</t>
  </si>
  <si>
    <t>133422-133423</t>
  </si>
  <si>
    <t>Strat 12 Lvl 1</t>
  </si>
  <si>
    <t>133424-133425</t>
  </si>
  <si>
    <t>Strat 13 Lvl 1</t>
  </si>
  <si>
    <t>133426-133427</t>
  </si>
  <si>
    <t>Strat 14 Lvl 1</t>
  </si>
  <si>
    <t>EU 27</t>
  </si>
  <si>
    <t>Strat 9 Lvl 2</t>
  </si>
  <si>
    <t>133312-133313</t>
  </si>
  <si>
    <t>Strat 10 Lvl 1</t>
  </si>
  <si>
    <t>133306-133307</t>
  </si>
  <si>
    <t>Strat 9 Lvl 1</t>
  </si>
  <si>
    <t>133568-133569</t>
  </si>
  <si>
    <t>EU 32</t>
  </si>
  <si>
    <t>133611-133612</t>
  </si>
  <si>
    <t>EU 33</t>
  </si>
  <si>
    <t>133619-133620</t>
  </si>
  <si>
    <t>Strat 8 Lvl1</t>
  </si>
  <si>
    <t>Strat 8 Lvl 2</t>
  </si>
  <si>
    <t>Strat 8 Lvl 3</t>
  </si>
  <si>
    <t>133635-133637</t>
  </si>
  <si>
    <t>Strat 13</t>
  </si>
  <si>
    <t>133632-133633</t>
  </si>
  <si>
    <t>Strat 11 Lvl 3</t>
  </si>
  <si>
    <t>133630-133631</t>
  </si>
  <si>
    <t>Asteraceae</t>
  </si>
  <si>
    <t>133626-133628</t>
  </si>
  <si>
    <t>133612-133611</t>
  </si>
  <si>
    <t>Strat 5 Lvl 2</t>
  </si>
  <si>
    <t>133364+133365</t>
  </si>
  <si>
    <t>133466-133467</t>
  </si>
  <si>
    <t>EU 30</t>
  </si>
  <si>
    <t>Strat 9 lvl 2</t>
  </si>
  <si>
    <t>Strat 5 Lvl 1</t>
  </si>
  <si>
    <t>l</t>
  </si>
  <si>
    <t>133561-133564</t>
  </si>
  <si>
    <t>133299-133301</t>
  </si>
  <si>
    <t>Strat 7 Lvl 3</t>
  </si>
  <si>
    <t>133503-133504</t>
  </si>
  <si>
    <t>EU 31</t>
  </si>
  <si>
    <t>Strat 4</t>
  </si>
  <si>
    <t>133605-133606, 133511</t>
  </si>
  <si>
    <t>133867-133870</t>
  </si>
  <si>
    <t>EU 34</t>
  </si>
  <si>
    <t>134652-134654</t>
  </si>
  <si>
    <t>EU47E F10</t>
  </si>
  <si>
    <t>134656-134657</t>
  </si>
  <si>
    <t>134659-134660</t>
  </si>
  <si>
    <t>134661-134663</t>
  </si>
  <si>
    <t>cf Cyperaceae</t>
  </si>
  <si>
    <t>134666-134667</t>
  </si>
  <si>
    <t>100% float</t>
  </si>
  <si>
    <t>2L</t>
  </si>
  <si>
    <t>2l</t>
  </si>
  <si>
    <t>100% Float</t>
  </si>
  <si>
    <t>134669-134671</t>
  </si>
  <si>
    <t>134674-134675</t>
  </si>
  <si>
    <t>134672-134673</t>
  </si>
  <si>
    <t>134678-134680</t>
  </si>
  <si>
    <t>134681-134683</t>
  </si>
  <si>
    <t>134686-134688</t>
  </si>
  <si>
    <t>134692=134695</t>
  </si>
  <si>
    <t>134698-134703</t>
  </si>
  <si>
    <t>134704-134706</t>
  </si>
  <si>
    <t>cf Poacae</t>
  </si>
  <si>
    <t>134707-134709</t>
  </si>
  <si>
    <t>Strat 3 Lvl 7</t>
  </si>
  <si>
    <t>134710-134712</t>
  </si>
  <si>
    <t>134713-134714</t>
  </si>
  <si>
    <t>134716-134718</t>
  </si>
  <si>
    <t>134719-134721</t>
  </si>
  <si>
    <t>134723-134726</t>
  </si>
  <si>
    <t>134727-134728</t>
  </si>
  <si>
    <t>134729-134730</t>
  </si>
  <si>
    <t>134731-134732</t>
  </si>
  <si>
    <t>134733-134735</t>
  </si>
  <si>
    <t>134736-134737</t>
  </si>
  <si>
    <t>134808-134809</t>
  </si>
  <si>
    <t>EU48E F10</t>
  </si>
  <si>
    <t>134810-134812</t>
  </si>
  <si>
    <t>Strat 1 lvl 4</t>
  </si>
  <si>
    <t>134813-134815</t>
  </si>
  <si>
    <t>134816-134818</t>
  </si>
  <si>
    <t>134819-134820</t>
  </si>
  <si>
    <t>134822-134824</t>
  </si>
  <si>
    <t>134826-134829</t>
  </si>
  <si>
    <t>134830-134832</t>
  </si>
  <si>
    <t>134834-134835</t>
  </si>
  <si>
    <t>134836-134838</t>
  </si>
  <si>
    <t>134839-134840</t>
  </si>
  <si>
    <t>134841-134843</t>
  </si>
  <si>
    <t>134844-134845</t>
  </si>
  <si>
    <t>134846-134848</t>
  </si>
  <si>
    <t>134849-134850</t>
  </si>
  <si>
    <t>134851-134852</t>
  </si>
  <si>
    <t>134853-134855</t>
  </si>
  <si>
    <t>134858-134860</t>
  </si>
  <si>
    <t>Strat 5 Lvl2</t>
  </si>
  <si>
    <t>134877-134881</t>
  </si>
  <si>
    <t>Strat 5 Lvl 4</t>
  </si>
  <si>
    <t>134866-13869</t>
  </si>
  <si>
    <t>134885-134888</t>
  </si>
  <si>
    <t>Strat 5 lvl 5</t>
  </si>
  <si>
    <t>134889-134891</t>
  </si>
  <si>
    <t>Strat 5 Lvl 6</t>
  </si>
  <si>
    <t>134618-1346120</t>
  </si>
  <si>
    <t>EU46 F54</t>
  </si>
  <si>
    <t>134621-134622</t>
  </si>
  <si>
    <t>134624-134625</t>
  </si>
  <si>
    <t>134802-134803</t>
  </si>
  <si>
    <t>EU48E</t>
  </si>
  <si>
    <t>134804-134805</t>
  </si>
  <si>
    <t>134648-134649</t>
  </si>
  <si>
    <t>EU47E</t>
  </si>
  <si>
    <t>134772-134774</t>
  </si>
  <si>
    <t>EU47W</t>
  </si>
  <si>
    <t>134895-134898</t>
  </si>
  <si>
    <t>Strat 5 Lvl 7</t>
  </si>
  <si>
    <t>134900-134902</t>
  </si>
  <si>
    <t>134906-134908</t>
  </si>
  <si>
    <t>134909-134911</t>
  </si>
  <si>
    <t>134912-134913</t>
  </si>
  <si>
    <t>134914-134916</t>
  </si>
  <si>
    <t>134921-134924</t>
  </si>
  <si>
    <t>134917-134920</t>
  </si>
  <si>
    <t>134926-134929</t>
  </si>
  <si>
    <t>134930-134931</t>
  </si>
  <si>
    <t>134932-134934</t>
  </si>
  <si>
    <t>134935-134937</t>
  </si>
  <si>
    <t>Strat 9 Lvl 3</t>
  </si>
  <si>
    <t>134939-134940</t>
  </si>
  <si>
    <t>Strt 10 Lvl 1</t>
  </si>
  <si>
    <t>134969-134970</t>
  </si>
  <si>
    <t>EU48W F10</t>
  </si>
  <si>
    <t>EU48E F71</t>
  </si>
  <si>
    <t>134942-134943</t>
  </si>
  <si>
    <t>EU49E F25/31</t>
  </si>
  <si>
    <t>134975-134976</t>
  </si>
  <si>
    <t>134977-134978</t>
  </si>
  <si>
    <t>134979-134980</t>
  </si>
  <si>
    <t>134981-134982</t>
  </si>
  <si>
    <t>134984-134985</t>
  </si>
  <si>
    <t>134986-134987</t>
  </si>
  <si>
    <t>134988-134989</t>
  </si>
  <si>
    <t>134990-134991</t>
  </si>
  <si>
    <t>Strat 1 Lvl 9</t>
  </si>
  <si>
    <t>135003-135005</t>
  </si>
  <si>
    <t>EU49W F25/31</t>
  </si>
  <si>
    <t>135008-135009</t>
  </si>
  <si>
    <t>135012-135015</t>
  </si>
  <si>
    <t>135016-135019</t>
  </si>
  <si>
    <t>Strat 1 Lvl4</t>
  </si>
  <si>
    <t>135020-135021</t>
  </si>
  <si>
    <t>135023-135-24</t>
  </si>
  <si>
    <t>135025-135026</t>
  </si>
  <si>
    <t>135027-135029</t>
  </si>
  <si>
    <t>135030-135033</t>
  </si>
  <si>
    <t>135034-135036</t>
  </si>
  <si>
    <t>135037-135039</t>
  </si>
  <si>
    <t>135040-135044</t>
  </si>
  <si>
    <t>135045-135046</t>
  </si>
  <si>
    <t>135048-135049</t>
  </si>
  <si>
    <t>Strat 1 Lvl 14</t>
  </si>
  <si>
    <t>135050-135051</t>
  </si>
  <si>
    <t>135054-135056</t>
  </si>
  <si>
    <t>Persicaria pensylvanica</t>
  </si>
  <si>
    <t>135059-135060</t>
  </si>
  <si>
    <t>135061-135062</t>
  </si>
  <si>
    <t>135064-135065</t>
  </si>
  <si>
    <t>135066-135067</t>
  </si>
  <si>
    <t>135068-135072</t>
  </si>
  <si>
    <t>135074-135075</t>
  </si>
  <si>
    <t>EU50E F25/31</t>
  </si>
  <si>
    <t>135076-135077</t>
  </si>
  <si>
    <t>135078-135079</t>
  </si>
  <si>
    <t>135080-135081</t>
  </si>
  <si>
    <t>135082-135083</t>
  </si>
  <si>
    <t>135084-135085</t>
  </si>
  <si>
    <t>135087-135088</t>
  </si>
  <si>
    <t>135091-135092</t>
  </si>
  <si>
    <t>Strat 2 Lvl 5</t>
  </si>
  <si>
    <t>135093-135094</t>
  </si>
  <si>
    <t>Strat 2 Lvl 6</t>
  </si>
  <si>
    <t>135095-135096</t>
  </si>
  <si>
    <t>Strat 2 Lvl 7</t>
  </si>
  <si>
    <t>135097-135098</t>
  </si>
  <si>
    <t>Strat 2 lvl 8</t>
  </si>
  <si>
    <t>135122-135123</t>
  </si>
  <si>
    <t>13512-135126</t>
  </si>
  <si>
    <t>EU50W</t>
  </si>
  <si>
    <t>EU50W F25/31</t>
  </si>
  <si>
    <t>135127-135128</t>
  </si>
  <si>
    <t>135129-135130</t>
  </si>
  <si>
    <t>135131-135132</t>
  </si>
  <si>
    <t>135133-135134</t>
  </si>
  <si>
    <t>135135-135136</t>
  </si>
  <si>
    <t>135137-135140</t>
  </si>
  <si>
    <t>135141-135143</t>
  </si>
  <si>
    <t>135118-135119</t>
  </si>
  <si>
    <t>135120-135121</t>
  </si>
  <si>
    <t>135001-135002</t>
  </si>
  <si>
    <t>EU49W</t>
  </si>
  <si>
    <t>135144-135146</t>
  </si>
  <si>
    <t>135148-135150</t>
  </si>
  <si>
    <t>135151-135153</t>
  </si>
  <si>
    <t>135155-135157</t>
  </si>
  <si>
    <t>135157-135158</t>
  </si>
  <si>
    <t>135159-135160</t>
  </si>
  <si>
    <t>Strat 1 Lvl 15</t>
  </si>
  <si>
    <t>135161-135162</t>
  </si>
  <si>
    <t>135165-135166</t>
  </si>
  <si>
    <t>135167-135168</t>
  </si>
  <si>
    <t>135201-135202</t>
  </si>
  <si>
    <t>EU51 F49</t>
  </si>
  <si>
    <t>135203-135205</t>
  </si>
  <si>
    <t>135206-135207</t>
  </si>
  <si>
    <t>Poacaea</t>
  </si>
  <si>
    <t>135208-135209</t>
  </si>
  <si>
    <t>135211-135212</t>
  </si>
  <si>
    <t>135213-134215</t>
  </si>
  <si>
    <t>135216-135218</t>
  </si>
  <si>
    <t>EU 51 F49</t>
  </si>
  <si>
    <t>135219-135220</t>
  </si>
  <si>
    <t>135221-135223</t>
  </si>
  <si>
    <t>135227-135230</t>
  </si>
  <si>
    <t>cf Asteracaea</t>
  </si>
  <si>
    <t>135232-135235</t>
  </si>
  <si>
    <t>135242-135243</t>
  </si>
  <si>
    <t>EU51 F56</t>
  </si>
  <si>
    <t>135244-135245</t>
  </si>
  <si>
    <t>135255-135256</t>
  </si>
  <si>
    <t>EU52 F55</t>
  </si>
  <si>
    <t>135262-135264</t>
  </si>
  <si>
    <t>135271-135273</t>
  </si>
  <si>
    <t>EU53 F87</t>
  </si>
  <si>
    <t>135338-135339</t>
  </si>
  <si>
    <t>135336-135337</t>
  </si>
  <si>
    <t>135340-135341</t>
  </si>
  <si>
    <t>135342-135343</t>
  </si>
  <si>
    <t>135257-135260</t>
  </si>
  <si>
    <t>EU52 F57</t>
  </si>
  <si>
    <t>135265-135269</t>
  </si>
  <si>
    <t>135287-135288</t>
  </si>
  <si>
    <t>135344-135347</t>
  </si>
  <si>
    <t>EU53 F90</t>
  </si>
  <si>
    <t>135349-135350</t>
  </si>
  <si>
    <t>135351-135352</t>
  </si>
  <si>
    <t>135353-135354</t>
  </si>
  <si>
    <t>135355-135356</t>
  </si>
  <si>
    <t>135357-135358</t>
  </si>
  <si>
    <t>135359-135360</t>
  </si>
  <si>
    <t>Strat 4 lvl 3</t>
  </si>
  <si>
    <t>135361-135362</t>
  </si>
  <si>
    <t>135364-135366</t>
  </si>
  <si>
    <t>135367-135368</t>
  </si>
  <si>
    <t>Strat 4 Lvl 6</t>
  </si>
  <si>
    <t>135369-135370</t>
  </si>
  <si>
    <t>Strat4 Lvl 7</t>
  </si>
  <si>
    <t>135335-135334</t>
  </si>
  <si>
    <t>EU53 F80</t>
  </si>
  <si>
    <t>EU53</t>
  </si>
  <si>
    <t>135197-135198</t>
  </si>
  <si>
    <t>EU51</t>
  </si>
  <si>
    <t>135199-135200</t>
  </si>
  <si>
    <t>133177-133178</t>
  </si>
  <si>
    <t>EU25 F31</t>
  </si>
  <si>
    <t>133180-133181</t>
  </si>
  <si>
    <t>133183-133185</t>
  </si>
  <si>
    <t>133189-133192</t>
  </si>
  <si>
    <t>133186-133188</t>
  </si>
  <si>
    <t>133194-133195</t>
  </si>
  <si>
    <t>133196-133198</t>
  </si>
  <si>
    <t>133199-133200</t>
  </si>
  <si>
    <t>133202-133203</t>
  </si>
  <si>
    <t xml:space="preserve">EU25&amp;27 F25 </t>
  </si>
  <si>
    <t>EU25&amp;27 F31</t>
  </si>
  <si>
    <t>133134-133135</t>
  </si>
  <si>
    <t>EU18 F30</t>
  </si>
  <si>
    <t>133245-133246</t>
  </si>
  <si>
    <t>EU26 F45</t>
  </si>
  <si>
    <t>133247-133248</t>
  </si>
  <si>
    <t>EU26 F46</t>
  </si>
  <si>
    <t>EU18 F36</t>
  </si>
  <si>
    <t>91.20 (22.80 sorted)</t>
  </si>
  <si>
    <t>133136-133137</t>
  </si>
  <si>
    <t>133132-133133</t>
  </si>
  <si>
    <t>EU18 F18</t>
  </si>
  <si>
    <t>Strat 1 Lvl1</t>
  </si>
  <si>
    <t>EU16</t>
  </si>
  <si>
    <t>133016-133018</t>
  </si>
  <si>
    <t>133020-133021</t>
  </si>
  <si>
    <t>133022-133024</t>
  </si>
  <si>
    <t>133025-133026</t>
  </si>
  <si>
    <t>133243-133244</t>
  </si>
  <si>
    <t>EU26</t>
  </si>
  <si>
    <t>EU15</t>
  </si>
  <si>
    <t xml:space="preserve">EU 15 </t>
  </si>
  <si>
    <t>132917-132918</t>
  </si>
  <si>
    <t>Strat 3 Lvl 9</t>
  </si>
  <si>
    <t>132919-132920</t>
  </si>
  <si>
    <t>133234-133238</t>
  </si>
  <si>
    <t>133239-133242</t>
  </si>
  <si>
    <t>133167-133168</t>
  </si>
  <si>
    <t>EU25</t>
  </si>
  <si>
    <t>133169-133170</t>
  </si>
  <si>
    <t>133171-133172</t>
  </si>
  <si>
    <t>135630-135637</t>
  </si>
  <si>
    <t>F114</t>
  </si>
  <si>
    <t>Lower Portion</t>
  </si>
  <si>
    <t>135621-135626</t>
  </si>
  <si>
    <t>Upper Portion</t>
  </si>
  <si>
    <t>135642-135646</t>
  </si>
  <si>
    <t>Slump</t>
  </si>
  <si>
    <t>134261-134262</t>
  </si>
  <si>
    <t>EU37 F83</t>
  </si>
  <si>
    <t>134128-134129</t>
  </si>
  <si>
    <t>EU35 F107</t>
  </si>
  <si>
    <t xml:space="preserve">EU43 </t>
  </si>
  <si>
    <t>132057-132059</t>
  </si>
  <si>
    <t>132062-132063</t>
  </si>
  <si>
    <t>134488-134489</t>
  </si>
  <si>
    <t>EU44 F68</t>
  </si>
  <si>
    <t>Strat 6</t>
  </si>
  <si>
    <t>EU44 F67</t>
  </si>
  <si>
    <t>134443-134444</t>
  </si>
  <si>
    <t>EU43 F69</t>
  </si>
  <si>
    <t>134560-134564</t>
  </si>
  <si>
    <t>EU45 F54</t>
  </si>
  <si>
    <t>134565-134566</t>
  </si>
  <si>
    <t>4L</t>
  </si>
  <si>
    <t>134445-134447</t>
  </si>
  <si>
    <t>EU43 F70</t>
  </si>
  <si>
    <t>135580-135583</t>
  </si>
  <si>
    <t>F10</t>
  </si>
  <si>
    <t>Bankcut</t>
  </si>
  <si>
    <t>134263-134264</t>
  </si>
  <si>
    <t>F88</t>
  </si>
  <si>
    <t>Strat 11 and top of 10</t>
  </si>
  <si>
    <t>135608-135611</t>
  </si>
  <si>
    <t>Strat 10 and 11</t>
  </si>
  <si>
    <t>135602-135605</t>
  </si>
  <si>
    <t>Slope</t>
  </si>
  <si>
    <t>135998-135600</t>
  </si>
  <si>
    <t>Sample Weights</t>
  </si>
  <si>
    <t>Tropical Domesticates</t>
  </si>
  <si>
    <t>Mast Nuts</t>
  </si>
  <si>
    <t>Fleshy Fruits</t>
  </si>
  <si>
    <t>Medicinal Plants</t>
  </si>
  <si>
    <t>Other</t>
  </si>
  <si>
    <t>Maize</t>
  </si>
  <si>
    <t>Possible Cultigens/Economic Weeds</t>
  </si>
  <si>
    <t>Medicinal/Ceremonial Plants</t>
  </si>
  <si>
    <t>Medicinal</t>
  </si>
  <si>
    <t>Economic Weeds/Cultigens</t>
  </si>
  <si>
    <t>cf Juncus sp.</t>
  </si>
  <si>
    <t>Economic Weeds/Cultigens/Medicinal</t>
  </si>
  <si>
    <t>cf nutmeat</t>
  </si>
  <si>
    <t>cf nutmeat (g)</t>
  </si>
  <si>
    <t>2 samples</t>
  </si>
  <si>
    <t>Early MW to Late EW</t>
  </si>
  <si>
    <t>EU33 F89</t>
  </si>
  <si>
    <t xml:space="preserve">Poacae </t>
  </si>
  <si>
    <t>Asteracea</t>
  </si>
  <si>
    <t>Fallopia scandens</t>
  </si>
  <si>
    <t>Liliacaea</t>
  </si>
  <si>
    <t>EU34 F89</t>
  </si>
  <si>
    <t>Rhizome</t>
  </si>
  <si>
    <t>cf Phaseolus polystachios (g)</t>
  </si>
  <si>
    <t>cf Phaseolus polystachios</t>
  </si>
  <si>
    <t>Prunus sp.</t>
  </si>
  <si>
    <t>Prunus sp. (g)</t>
  </si>
  <si>
    <t>Unidentified nutshell</t>
  </si>
  <si>
    <t>cf. Zea mays</t>
  </si>
  <si>
    <t>cf. Zea Mays (g)</t>
  </si>
  <si>
    <t>Unidentified/Unidentifiable seeds</t>
  </si>
  <si>
    <t>Table 2: Early and Middle Woodland</t>
  </si>
  <si>
    <t xml:space="preserve">Table 1: Transitional Archaic </t>
  </si>
  <si>
    <t>Table 3: Late Middle Woodland</t>
  </si>
  <si>
    <t>133483-133484</t>
  </si>
  <si>
    <t>EU 33 F113</t>
  </si>
  <si>
    <t>133845-133846</t>
  </si>
  <si>
    <t>Tropical Cultigens</t>
  </si>
  <si>
    <t>Unidentified/Unidentifiable seed</t>
  </si>
  <si>
    <t>Table 4: early-Late Woodland</t>
  </si>
  <si>
    <t>Table 5: middle-Late Woodland</t>
  </si>
  <si>
    <t>Hordeum pusillum</t>
  </si>
  <si>
    <t>cf Zea mays</t>
  </si>
  <si>
    <t>cf Zea mays (g)</t>
  </si>
  <si>
    <t>cf Zea mays pericarp</t>
  </si>
  <si>
    <t>cf Zea mays Pericarp (g)</t>
  </si>
  <si>
    <t>Zea mays embryo</t>
  </si>
  <si>
    <t>Zea mays embryo g</t>
  </si>
  <si>
    <t>Zea mays Cupule</t>
  </si>
  <si>
    <t>Zea mays cupule (g)</t>
  </si>
  <si>
    <t>cf Zea mays cupule</t>
  </si>
  <si>
    <t>cf Zea mays cupule (g)</t>
  </si>
  <si>
    <t>Zea mays cob fragments</t>
  </si>
  <si>
    <t>Zea mays cob frag (g)</t>
  </si>
  <si>
    <t>Carya sp.</t>
  </si>
  <si>
    <t>Carya sp. (g)</t>
  </si>
  <si>
    <t xml:space="preserve">Juglans sp. </t>
  </si>
  <si>
    <t>Juglans sp. (g)</t>
  </si>
  <si>
    <t>Polygonacaea</t>
  </si>
  <si>
    <t>&lt;0.01g</t>
  </si>
  <si>
    <t>Unidentified/Unidentifiable Seeds</t>
  </si>
  <si>
    <t>Table 6: late-Late Woodland to Contact</t>
  </si>
  <si>
    <t>Quercus sp.</t>
  </si>
  <si>
    <t>Quercus sp.  (g)</t>
  </si>
  <si>
    <t>Rubus sp.</t>
  </si>
  <si>
    <t>Vaccinum sp.</t>
  </si>
  <si>
    <t>Gaylussacia sp.</t>
  </si>
  <si>
    <t>Physalis sp.</t>
  </si>
  <si>
    <t>Vitis sp.</t>
  </si>
  <si>
    <t>Chenopodium berlandieri</t>
  </si>
  <si>
    <t>Iva annua</t>
  </si>
  <si>
    <t>Helianthus anuus</t>
  </si>
  <si>
    <t>cf Cucurbita pepo rind</t>
  </si>
  <si>
    <t>cf Cucurbita pepo seed</t>
  </si>
  <si>
    <t>Amphicarpa bracteata</t>
  </si>
  <si>
    <t>Verbena sp.</t>
  </si>
  <si>
    <t>Rhus sp.</t>
  </si>
  <si>
    <t>Euphorbia sp.</t>
  </si>
  <si>
    <t xml:space="preserve">cf Cyperaceae </t>
  </si>
  <si>
    <t>cf Prunella sp.</t>
  </si>
  <si>
    <t>Nicotiana sp.</t>
  </si>
  <si>
    <t>cf Nicotiana sp.</t>
  </si>
  <si>
    <t>Galium sp.</t>
  </si>
  <si>
    <t>cf Galium sp.</t>
  </si>
  <si>
    <t>Phaseolus vulgaris</t>
  </si>
  <si>
    <t>Phaseolus vulgaris (g)</t>
  </si>
  <si>
    <t>Quercus sp. (g)</t>
  </si>
  <si>
    <t>Ostrya sp.</t>
  </si>
  <si>
    <t>Ostrya sp. (g)</t>
  </si>
  <si>
    <t>cf Coryolus sp.</t>
  </si>
  <si>
    <t>cf Coryolus sp. (g)</t>
  </si>
  <si>
    <t>Unidentified nutshell (g)</t>
  </si>
  <si>
    <t>Polygonum sp.</t>
  </si>
  <si>
    <t>cf Iva annua</t>
  </si>
  <si>
    <t>cf Amphicarpa bracteata</t>
  </si>
  <si>
    <t>cf Diospyros virginiana/Asimina triloba</t>
  </si>
  <si>
    <t>Sambucus sp.</t>
  </si>
  <si>
    <t>Prunus/cf Prunus sp.</t>
  </si>
  <si>
    <t>cf Myrica sp.</t>
  </si>
  <si>
    <t>cf Morus sp.</t>
  </si>
  <si>
    <t>Hedeoma sp.</t>
  </si>
  <si>
    <t>cf Lathyrus sp.</t>
  </si>
  <si>
    <t>cf Nymphaea sp.</t>
  </si>
  <si>
    <t>cf Vicia sp.</t>
  </si>
  <si>
    <t>cf Salvia sp.</t>
  </si>
  <si>
    <t>Zea mays cupule</t>
  </si>
  <si>
    <t>Fagus sp.</t>
  </si>
  <si>
    <t>Fagus sp. (g)</t>
  </si>
  <si>
    <t>Ambrosia trifida</t>
  </si>
  <si>
    <t>Helianthus annus</t>
  </si>
  <si>
    <t>cf Impatiens sp.</t>
  </si>
  <si>
    <t xml:space="preserve">Unidentified nutshell </t>
  </si>
  <si>
    <t>Cucurbita pepo rind</t>
  </si>
  <si>
    <t>cf Polygonum sp.</t>
  </si>
  <si>
    <t>cf Ambrosia sp.</t>
  </si>
  <si>
    <t>cf Crataegus sp.</t>
  </si>
  <si>
    <t xml:space="preserve">cf Polygonacaea </t>
  </si>
  <si>
    <t>cf Euphorbia sp.</t>
  </si>
  <si>
    <t>cf Cornus sp.</t>
  </si>
  <si>
    <t>cf Cornus sp. (g)</t>
  </si>
  <si>
    <t xml:space="preserve">Asteracaea </t>
  </si>
  <si>
    <t>Unidentified/unidentifiable seeds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</si>
</sst>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 (Body)"/>
    </font>
    <font>
      <sz val="10"/>
      <color rgb="FF000000"/>
      <name val="Tahom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6" fillId="0" borderId="0" xfId="0" applyFont="1"/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/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0" fillId="0" borderId="2" xfId="0" applyFill="1" applyBorder="1"/>
    <xf numFmtId="0" fontId="0" fillId="0" borderId="0" xfId="0" applyFill="1"/>
    <xf numFmtId="3" fontId="0" fillId="0" borderId="0" xfId="0" applyNumberFormat="1" applyFill="1"/>
    <xf numFmtId="0" fontId="3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/>
    <xf numFmtId="9" fontId="0" fillId="0" borderId="0" xfId="0" applyNumberFormat="1" applyFill="1"/>
    <xf numFmtId="0" fontId="4" fillId="0" borderId="0" xfId="0" applyFont="1" applyFill="1"/>
    <xf numFmtId="0" fontId="0" fillId="0" borderId="1" xfId="0" applyFill="1" applyBorder="1" applyAlignment="1">
      <alignment horizontal="left"/>
    </xf>
    <xf numFmtId="0" fontId="0" fillId="0" borderId="0" xfId="0" applyFill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5" xfId="0" applyFont="1" applyBorder="1" applyAlignment="1"/>
    <xf numFmtId="0" fontId="2" fillId="0" borderId="2" xfId="0" applyFont="1" applyBorder="1" applyAlignment="1"/>
    <xf numFmtId="0" fontId="10" fillId="0" borderId="0" xfId="0" applyFont="1"/>
    <xf numFmtId="0" fontId="5" fillId="0" borderId="1" xfId="0" applyFont="1" applyFill="1" applyBorder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eamer, Justin Michael" id="{1278A715-71AB-664B-8F3E-62DC9F81A18C}" userId="S::reamerj@upenn.edu::057b4eee-4843-4f48-ab9b-561b4256643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Q11" dT="2022-04-06T15:41:17.93" personId="{1278A715-71AB-664B-8F3E-62DC9F81A18C}" id="{E5BCF919-B657-DF4A-8DFA-B2498BCF2C22}">
    <text>Double check, likely spurge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Y172" dT="2022-02-21T17:22:38.64" personId="{1278A715-71AB-664B-8F3E-62DC9F81A18C}" id="{98EF4C80-EED6-3F4B-865B-6C4340A4E76A}">
    <text>cf Panicum</text>
  </threadedComment>
  <threadedComment ref="BY173" dT="2022-02-21T17:22:51.50" personId="{1278A715-71AB-664B-8F3E-62DC9F81A18C}" id="{3FC2E2DD-F4C1-0A48-91F0-4F06E9261683}">
    <text>cf Panicum</text>
  </threadedComment>
  <threadedComment ref="BY174" dT="2022-02-21T17:24:59.60" personId="{1278A715-71AB-664B-8F3E-62DC9F81A18C}" id="{34AC100E-11CC-2347-AFED-C600BBB13E6C}">
    <text>cf Phalaris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C7D5F-9E5E-7741-9B6B-74ED2C056DAE}">
  <dimension ref="A1:U8"/>
  <sheetViews>
    <sheetView tabSelected="1" workbookViewId="0">
      <pane xSplit="3" ySplit="4" topLeftCell="D5" activePane="bottomRight" state="frozen"/>
      <selection pane="topRight" activeCell="D1" sqref="D1"/>
      <selection pane="bottomLeft" activeCell="A3" sqref="A3"/>
      <selection pane="bottomRight" activeCell="J12" sqref="J12"/>
    </sheetView>
  </sheetViews>
  <sheetFormatPr baseColWidth="10" defaultRowHeight="16" x14ac:dyDescent="0.2"/>
  <cols>
    <col min="1" max="1" width="15.1640625" customWidth="1"/>
    <col min="2" max="2" width="15.33203125" customWidth="1"/>
    <col min="3" max="3" width="15" customWidth="1"/>
    <col min="4" max="4" width="14.33203125" customWidth="1"/>
    <col min="5" max="5" width="16.33203125" customWidth="1"/>
    <col min="6" max="6" width="16.5" customWidth="1"/>
    <col min="8" max="8" width="14.33203125" customWidth="1"/>
    <col min="9" max="9" width="15.6640625" customWidth="1"/>
    <col min="21" max="21" width="14.6640625" customWidth="1"/>
  </cols>
  <sheetData>
    <row r="1" spans="1:21" s="40" customFormat="1" ht="19" x14ac:dyDescent="0.25">
      <c r="A1" s="38" t="s">
        <v>622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</row>
    <row r="2" spans="1:21" s="2" customFormat="1" x14ac:dyDescent="0.2">
      <c r="A2" s="14" t="s">
        <v>0</v>
      </c>
      <c r="B2" s="14"/>
      <c r="C2" s="14"/>
      <c r="D2" s="14" t="s">
        <v>10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s="2" customFormat="1" x14ac:dyDescent="0.2">
      <c r="A3" s="1"/>
      <c r="B3" s="1"/>
      <c r="C3" s="1"/>
      <c r="D3" s="1"/>
      <c r="E3" s="11" t="s">
        <v>589</v>
      </c>
      <c r="F3" s="12"/>
      <c r="G3" s="12"/>
      <c r="H3" s="12"/>
      <c r="I3" s="13"/>
      <c r="J3" s="11" t="s">
        <v>591</v>
      </c>
      <c r="K3" s="12"/>
      <c r="L3" s="12"/>
      <c r="M3" s="12"/>
      <c r="N3" s="12"/>
      <c r="O3" s="12"/>
      <c r="P3" s="12"/>
      <c r="Q3" s="13"/>
      <c r="R3" s="1" t="s">
        <v>598</v>
      </c>
      <c r="S3" s="11" t="s">
        <v>592</v>
      </c>
      <c r="T3" s="13"/>
      <c r="U3" s="1" t="s">
        <v>594</v>
      </c>
    </row>
    <row r="4" spans="1:21" s="3" customFormat="1" x14ac:dyDescent="0.2">
      <c r="A4" s="17" t="s">
        <v>1</v>
      </c>
      <c r="B4" s="17" t="s">
        <v>2</v>
      </c>
      <c r="C4" s="17" t="s">
        <v>3</v>
      </c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644</v>
      </c>
      <c r="K4" s="17" t="s">
        <v>645</v>
      </c>
      <c r="L4" s="17" t="s">
        <v>646</v>
      </c>
      <c r="M4" s="17" t="s">
        <v>647</v>
      </c>
      <c r="N4" s="17" t="s">
        <v>652</v>
      </c>
      <c r="O4" s="17" t="s">
        <v>676</v>
      </c>
      <c r="P4" s="17" t="s">
        <v>602</v>
      </c>
      <c r="Q4" s="17" t="s">
        <v>603</v>
      </c>
      <c r="R4" s="17" t="s">
        <v>690</v>
      </c>
      <c r="S4" s="17" t="s">
        <v>615</v>
      </c>
      <c r="T4" s="17" t="s">
        <v>616</v>
      </c>
      <c r="U4" s="17" t="s">
        <v>711</v>
      </c>
    </row>
    <row r="5" spans="1:21" x14ac:dyDescent="0.2">
      <c r="A5" s="23" t="s">
        <v>154</v>
      </c>
      <c r="B5" s="23" t="s">
        <v>155</v>
      </c>
      <c r="C5" s="23" t="s">
        <v>156</v>
      </c>
      <c r="D5" s="23"/>
      <c r="E5" s="23">
        <v>0.95</v>
      </c>
      <c r="F5" s="23">
        <v>0.16</v>
      </c>
      <c r="G5" s="23">
        <v>0.62</v>
      </c>
      <c r="H5" s="23">
        <v>0.09</v>
      </c>
      <c r="I5" s="23">
        <v>0.08</v>
      </c>
      <c r="J5" s="23"/>
      <c r="K5" s="23"/>
      <c r="L5" s="23"/>
      <c r="M5" s="23"/>
      <c r="N5" s="23"/>
      <c r="O5" s="23"/>
      <c r="P5" s="23"/>
      <c r="Q5" s="23"/>
      <c r="R5" s="23">
        <v>1</v>
      </c>
      <c r="S5" s="23"/>
      <c r="T5" s="23"/>
      <c r="U5" s="23">
        <v>3</v>
      </c>
    </row>
    <row r="6" spans="1:21" x14ac:dyDescent="0.2">
      <c r="A6" s="23" t="s">
        <v>193</v>
      </c>
      <c r="B6" s="23" t="s">
        <v>189</v>
      </c>
      <c r="C6" s="23" t="s">
        <v>156</v>
      </c>
      <c r="D6" s="23" t="s">
        <v>298</v>
      </c>
      <c r="E6" s="23">
        <v>0.26</v>
      </c>
      <c r="F6" s="23">
        <v>0.13</v>
      </c>
      <c r="G6" s="23">
        <v>0.13</v>
      </c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</row>
    <row r="7" spans="1:21" x14ac:dyDescent="0.2">
      <c r="A7" s="23">
        <v>133138</v>
      </c>
      <c r="B7" s="23" t="s">
        <v>528</v>
      </c>
      <c r="C7" s="23" t="s">
        <v>16</v>
      </c>
      <c r="D7" s="23" t="s">
        <v>300</v>
      </c>
      <c r="E7" s="23" t="s">
        <v>529</v>
      </c>
      <c r="F7" s="23">
        <v>7.0000000000000007E-2</v>
      </c>
      <c r="G7" s="23">
        <v>9.35</v>
      </c>
      <c r="H7" s="23">
        <v>1.86</v>
      </c>
      <c r="I7" s="23">
        <v>0.7</v>
      </c>
      <c r="J7" s="23">
        <v>950</v>
      </c>
      <c r="K7" s="23">
        <v>8.81</v>
      </c>
      <c r="L7" s="23">
        <v>29</v>
      </c>
      <c r="M7" s="23">
        <v>1.17</v>
      </c>
      <c r="N7" s="23">
        <v>33</v>
      </c>
      <c r="O7" s="23">
        <v>0.13</v>
      </c>
      <c r="P7" s="23"/>
      <c r="Q7" s="23"/>
      <c r="R7" s="23"/>
      <c r="S7" s="23">
        <v>14</v>
      </c>
      <c r="T7" s="23">
        <v>0.69</v>
      </c>
      <c r="U7" s="23"/>
    </row>
    <row r="8" spans="1:21" x14ac:dyDescent="0.2">
      <c r="A8" s="23" t="s">
        <v>530</v>
      </c>
      <c r="B8" s="23" t="s">
        <v>528</v>
      </c>
      <c r="C8" s="23" t="s">
        <v>16</v>
      </c>
      <c r="D8" s="23" t="s">
        <v>300</v>
      </c>
      <c r="E8" s="23">
        <f>5.31+4.63</f>
        <v>9.94</v>
      </c>
      <c r="F8" s="23">
        <v>0.21</v>
      </c>
      <c r="G8" s="23">
        <v>2.48</v>
      </c>
      <c r="H8" s="23"/>
      <c r="I8" s="23">
        <v>0.23</v>
      </c>
      <c r="J8" s="23">
        <v>274</v>
      </c>
      <c r="K8" s="23">
        <f>4.63+2.19</f>
        <v>6.82</v>
      </c>
      <c r="L8" s="23">
        <v>3</v>
      </c>
      <c r="M8" s="23">
        <v>0.04</v>
      </c>
      <c r="N8" s="23"/>
      <c r="O8" s="23"/>
      <c r="P8" s="23">
        <v>1</v>
      </c>
      <c r="Q8" s="23">
        <v>0.01</v>
      </c>
      <c r="R8" s="23"/>
      <c r="S8" s="23">
        <v>2</v>
      </c>
      <c r="T8" s="23">
        <v>0.13</v>
      </c>
      <c r="U8" s="23"/>
    </row>
  </sheetData>
  <mergeCells count="7">
    <mergeCell ref="A1:XFD1"/>
    <mergeCell ref="A2:C2"/>
    <mergeCell ref="D2:I2"/>
    <mergeCell ref="J2:U2"/>
    <mergeCell ref="S3:T3"/>
    <mergeCell ref="J3:Q3"/>
    <mergeCell ref="E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53474-B05A-AC44-A586-522DC436C90E}">
  <dimension ref="A1:AE34"/>
  <sheetViews>
    <sheetView workbookViewId="0">
      <pane xSplit="3" ySplit="4" topLeftCell="Q5" activePane="bottomRight" state="frozen"/>
      <selection pane="topRight" activeCell="D1" sqref="D1"/>
      <selection pane="bottomLeft" activeCell="A3" sqref="A3"/>
      <selection pane="bottomRight" activeCell="AB4" sqref="AB4"/>
    </sheetView>
  </sheetViews>
  <sheetFormatPr baseColWidth="10" defaultRowHeight="16" x14ac:dyDescent="0.2"/>
  <cols>
    <col min="1" max="1" width="15.33203125" style="23" customWidth="1"/>
    <col min="2" max="2" width="18.6640625" style="23" customWidth="1"/>
    <col min="3" max="3" width="15.6640625" style="23" customWidth="1"/>
    <col min="4" max="26" width="10.83203125" style="23"/>
    <col min="27" max="27" width="30" style="23" customWidth="1"/>
    <col min="28" max="28" width="16" style="23" customWidth="1"/>
    <col min="29" max="16384" width="10.83203125" style="23"/>
  </cols>
  <sheetData>
    <row r="1" spans="1:31" s="31" customFormat="1" ht="19" x14ac:dyDescent="0.25">
      <c r="A1" s="32" t="s">
        <v>621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</row>
    <row r="2" spans="1:31" s="17" customFormat="1" x14ac:dyDescent="0.2">
      <c r="A2" s="15" t="s">
        <v>0</v>
      </c>
      <c r="B2" s="15"/>
      <c r="C2" s="15"/>
      <c r="D2" s="15" t="s">
        <v>10</v>
      </c>
      <c r="E2" s="15"/>
      <c r="F2" s="15"/>
      <c r="G2" s="15"/>
      <c r="H2" s="15"/>
      <c r="I2" s="15"/>
      <c r="J2" s="15" t="s">
        <v>11</v>
      </c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</row>
    <row r="3" spans="1:31" s="17" customFormat="1" x14ac:dyDescent="0.2">
      <c r="A3" s="16"/>
      <c r="B3" s="16"/>
      <c r="C3" s="16"/>
      <c r="D3" s="16"/>
      <c r="E3" s="18" t="s">
        <v>589</v>
      </c>
      <c r="F3" s="19"/>
      <c r="G3" s="19"/>
      <c r="H3" s="19"/>
      <c r="I3" s="20"/>
      <c r="J3" s="18" t="s">
        <v>595</v>
      </c>
      <c r="K3" s="20"/>
      <c r="L3" s="18" t="s">
        <v>591</v>
      </c>
      <c r="M3" s="19"/>
      <c r="N3" s="19"/>
      <c r="O3" s="19"/>
      <c r="P3" s="19"/>
      <c r="Q3" s="19"/>
      <c r="R3" s="19"/>
      <c r="S3" s="19"/>
      <c r="T3" s="19"/>
      <c r="U3" s="20"/>
      <c r="V3" s="11" t="s">
        <v>601</v>
      </c>
      <c r="W3" s="12"/>
      <c r="X3" s="13"/>
      <c r="Y3" s="18" t="s">
        <v>594</v>
      </c>
      <c r="Z3" s="19"/>
      <c r="AA3" s="19"/>
      <c r="AB3" s="20"/>
    </row>
    <row r="4" spans="1:31" s="22" customFormat="1" x14ac:dyDescent="0.2">
      <c r="A4" s="17" t="s">
        <v>1</v>
      </c>
      <c r="B4" s="17" t="s">
        <v>2</v>
      </c>
      <c r="C4" s="17" t="s">
        <v>3</v>
      </c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618</v>
      </c>
      <c r="K4" s="17" t="s">
        <v>619</v>
      </c>
      <c r="L4" s="17" t="s">
        <v>644</v>
      </c>
      <c r="M4" s="17" t="s">
        <v>645</v>
      </c>
      <c r="N4" s="17" t="s">
        <v>652</v>
      </c>
      <c r="O4" s="17" t="s">
        <v>676</v>
      </c>
      <c r="P4" s="17" t="s">
        <v>708</v>
      </c>
      <c r="Q4" s="17" t="s">
        <v>709</v>
      </c>
      <c r="R4" s="17" t="s">
        <v>617</v>
      </c>
      <c r="S4" s="17" t="s">
        <v>681</v>
      </c>
      <c r="T4" s="17" t="s">
        <v>19</v>
      </c>
      <c r="U4" s="17" t="s">
        <v>20</v>
      </c>
      <c r="V4" s="2" t="s">
        <v>659</v>
      </c>
      <c r="W4" s="2" t="s">
        <v>699</v>
      </c>
      <c r="X4" s="2" t="s">
        <v>670</v>
      </c>
      <c r="Y4" s="2" t="s">
        <v>710</v>
      </c>
      <c r="Z4" s="17" t="s">
        <v>620</v>
      </c>
      <c r="AA4" s="2" t="s">
        <v>49</v>
      </c>
      <c r="AB4" s="17" t="s">
        <v>90</v>
      </c>
    </row>
    <row r="5" spans="1:31" x14ac:dyDescent="0.2">
      <c r="A5" s="23" t="s">
        <v>120</v>
      </c>
      <c r="B5" s="23" t="s">
        <v>121</v>
      </c>
      <c r="C5" s="23" t="s">
        <v>16</v>
      </c>
      <c r="D5" s="23" t="s">
        <v>300</v>
      </c>
      <c r="E5" s="23">
        <v>1.8</v>
      </c>
      <c r="F5" s="23">
        <v>0.17</v>
      </c>
      <c r="G5" s="23">
        <v>0.82</v>
      </c>
      <c r="H5" s="23">
        <v>0.53</v>
      </c>
      <c r="I5" s="23">
        <v>0.27</v>
      </c>
      <c r="R5" s="23">
        <v>3</v>
      </c>
      <c r="S5" s="23" t="s">
        <v>21</v>
      </c>
      <c r="Z5" s="23">
        <v>1</v>
      </c>
    </row>
    <row r="6" spans="1:31" x14ac:dyDescent="0.2">
      <c r="B6" s="23" t="s">
        <v>155</v>
      </c>
      <c r="C6" s="23" t="s">
        <v>159</v>
      </c>
      <c r="D6" s="23" t="s">
        <v>298</v>
      </c>
      <c r="E6" s="23">
        <v>0.56999999999999995</v>
      </c>
      <c r="F6" s="23">
        <v>0.21</v>
      </c>
      <c r="G6" s="23">
        <v>0.36</v>
      </c>
      <c r="Z6" s="23">
        <v>1</v>
      </c>
      <c r="AB6" s="23">
        <v>1</v>
      </c>
    </row>
    <row r="7" spans="1:31" x14ac:dyDescent="0.2">
      <c r="A7" s="23" t="s">
        <v>161</v>
      </c>
      <c r="B7" s="23" t="s">
        <v>155</v>
      </c>
      <c r="C7" s="23" t="s">
        <v>160</v>
      </c>
      <c r="D7" s="23" t="s">
        <v>298</v>
      </c>
      <c r="E7" s="23">
        <v>0.31</v>
      </c>
      <c r="F7" s="23">
        <v>0.08</v>
      </c>
      <c r="G7" s="23">
        <v>0.15</v>
      </c>
      <c r="H7" s="23">
        <v>0.06</v>
      </c>
      <c r="I7" s="23">
        <v>0.01</v>
      </c>
      <c r="N7" s="23">
        <v>1</v>
      </c>
      <c r="O7" s="23">
        <v>0.01</v>
      </c>
      <c r="AB7" s="23">
        <v>1</v>
      </c>
    </row>
    <row r="8" spans="1:31" x14ac:dyDescent="0.2">
      <c r="A8" s="23" t="s">
        <v>162</v>
      </c>
      <c r="B8" s="23" t="s">
        <v>155</v>
      </c>
      <c r="C8" s="23" t="s">
        <v>163</v>
      </c>
      <c r="D8" s="23" t="s">
        <v>298</v>
      </c>
      <c r="E8" s="23">
        <v>0.7</v>
      </c>
      <c r="F8" s="23">
        <v>0.13</v>
      </c>
      <c r="G8" s="23">
        <v>0.56000000000000005</v>
      </c>
      <c r="I8" s="23">
        <v>0.01</v>
      </c>
      <c r="Z8" s="23">
        <v>1</v>
      </c>
    </row>
    <row r="9" spans="1:31" x14ac:dyDescent="0.2">
      <c r="A9" s="23" t="s">
        <v>164</v>
      </c>
      <c r="B9" s="23" t="s">
        <v>155</v>
      </c>
      <c r="C9" s="23" t="s">
        <v>165</v>
      </c>
      <c r="D9" s="23" t="s">
        <v>298</v>
      </c>
      <c r="E9" s="23">
        <v>1.01</v>
      </c>
      <c r="F9" s="23">
        <v>0.19</v>
      </c>
      <c r="G9" s="23">
        <v>0.64</v>
      </c>
      <c r="H9" s="23">
        <v>0.16</v>
      </c>
    </row>
    <row r="10" spans="1:31" x14ac:dyDescent="0.2">
      <c r="A10" s="23" t="s">
        <v>166</v>
      </c>
      <c r="B10" s="23" t="s">
        <v>155</v>
      </c>
      <c r="C10" s="23" t="s">
        <v>167</v>
      </c>
      <c r="D10" s="23" t="s">
        <v>298</v>
      </c>
      <c r="E10" s="23">
        <v>1.42</v>
      </c>
      <c r="F10" s="23">
        <v>0.45</v>
      </c>
      <c r="G10" s="23">
        <v>0.73</v>
      </c>
      <c r="H10" s="23">
        <v>0.08</v>
      </c>
      <c r="I10" s="23">
        <v>0.08</v>
      </c>
      <c r="J10" s="23">
        <v>1</v>
      </c>
      <c r="K10" s="23" t="s">
        <v>21</v>
      </c>
      <c r="L10" s="23">
        <v>5</v>
      </c>
      <c r="M10" s="23">
        <v>0.05</v>
      </c>
      <c r="N10" s="23">
        <v>2</v>
      </c>
      <c r="O10" s="23" t="s">
        <v>21</v>
      </c>
      <c r="P10" s="23">
        <v>1</v>
      </c>
      <c r="Q10" s="23">
        <v>0.02</v>
      </c>
      <c r="T10" s="23">
        <v>2</v>
      </c>
      <c r="U10" s="23" t="s">
        <v>21</v>
      </c>
    </row>
    <row r="11" spans="1:31" x14ac:dyDescent="0.2">
      <c r="A11" s="23" t="s">
        <v>171</v>
      </c>
      <c r="B11" s="23" t="s">
        <v>172</v>
      </c>
      <c r="C11" s="23" t="s">
        <v>173</v>
      </c>
      <c r="D11" s="23" t="s">
        <v>298</v>
      </c>
      <c r="E11" s="23">
        <v>1.75</v>
      </c>
      <c r="F11" s="23">
        <v>0.18</v>
      </c>
      <c r="G11" s="23">
        <v>1.05</v>
      </c>
      <c r="H11" s="23">
        <v>0.52</v>
      </c>
      <c r="AB11" s="23">
        <v>1</v>
      </c>
    </row>
    <row r="12" spans="1:31" x14ac:dyDescent="0.2">
      <c r="A12" s="23" t="s">
        <v>174</v>
      </c>
      <c r="B12" s="23" t="s">
        <v>172</v>
      </c>
      <c r="C12" s="23" t="s">
        <v>175</v>
      </c>
      <c r="D12" s="23" t="s">
        <v>298</v>
      </c>
      <c r="E12" s="23">
        <v>0.18</v>
      </c>
      <c r="F12" s="23">
        <v>0.03</v>
      </c>
      <c r="G12" s="23">
        <v>7.0000000000000007E-2</v>
      </c>
      <c r="H12" s="23">
        <v>0.06</v>
      </c>
    </row>
    <row r="13" spans="1:31" x14ac:dyDescent="0.2">
      <c r="A13" s="23" t="s">
        <v>176</v>
      </c>
      <c r="B13" s="23" t="s">
        <v>172</v>
      </c>
      <c r="C13" s="23" t="s">
        <v>177</v>
      </c>
      <c r="D13" s="23" t="s">
        <v>298</v>
      </c>
      <c r="E13" s="23">
        <v>1.66</v>
      </c>
      <c r="F13" s="23">
        <v>0.78</v>
      </c>
      <c r="G13" s="23">
        <v>0.35</v>
      </c>
      <c r="H13" s="23">
        <v>0.52</v>
      </c>
    </row>
    <row r="14" spans="1:31" x14ac:dyDescent="0.2">
      <c r="A14" s="23" t="s">
        <v>178</v>
      </c>
      <c r="B14" s="23" t="s">
        <v>172</v>
      </c>
      <c r="C14" s="23" t="s">
        <v>179</v>
      </c>
      <c r="D14" s="23" t="s">
        <v>298</v>
      </c>
      <c r="E14" s="23">
        <v>0.92</v>
      </c>
      <c r="F14" s="23">
        <v>0.6</v>
      </c>
      <c r="G14" s="23">
        <v>0.15</v>
      </c>
      <c r="H14" s="23">
        <v>0.15</v>
      </c>
      <c r="I14" s="23">
        <v>0.01</v>
      </c>
      <c r="AB14" s="23">
        <v>3</v>
      </c>
    </row>
    <row r="15" spans="1:31" x14ac:dyDescent="0.2">
      <c r="A15" s="23" t="s">
        <v>180</v>
      </c>
      <c r="B15" s="23" t="s">
        <v>172</v>
      </c>
      <c r="C15" s="23" t="s">
        <v>181</v>
      </c>
      <c r="D15" s="23" t="s">
        <v>298</v>
      </c>
      <c r="E15" s="23">
        <v>0.55000000000000004</v>
      </c>
      <c r="F15" s="23">
        <v>0.18</v>
      </c>
      <c r="G15" s="23">
        <v>0.18</v>
      </c>
      <c r="H15" s="23">
        <v>0.19</v>
      </c>
      <c r="R15" s="23">
        <v>1</v>
      </c>
      <c r="S15" s="23" t="s">
        <v>21</v>
      </c>
    </row>
    <row r="16" spans="1:31" x14ac:dyDescent="0.2">
      <c r="A16" s="23" t="s">
        <v>182</v>
      </c>
      <c r="B16" s="23" t="s">
        <v>172</v>
      </c>
      <c r="C16" s="23" t="s">
        <v>183</v>
      </c>
      <c r="D16" s="23" t="s">
        <v>298</v>
      </c>
      <c r="E16" s="23">
        <v>1.06</v>
      </c>
      <c r="F16" s="23">
        <v>0.52</v>
      </c>
      <c r="G16" s="23">
        <v>0.27</v>
      </c>
      <c r="H16" s="23">
        <v>0.25</v>
      </c>
      <c r="I16" s="23">
        <v>0.01</v>
      </c>
    </row>
    <row r="17" spans="1:31" x14ac:dyDescent="0.2">
      <c r="A17" s="23" t="s">
        <v>268</v>
      </c>
      <c r="B17" s="23" t="s">
        <v>261</v>
      </c>
      <c r="C17" s="23" t="s">
        <v>269</v>
      </c>
      <c r="D17" s="23" t="s">
        <v>298</v>
      </c>
      <c r="E17" s="23">
        <v>0.22</v>
      </c>
      <c r="F17" s="23">
        <v>0.09</v>
      </c>
      <c r="G17" s="23">
        <v>0.11</v>
      </c>
      <c r="I17" s="23">
        <v>0.02</v>
      </c>
      <c r="Z17" s="23">
        <v>1</v>
      </c>
    </row>
    <row r="18" spans="1:31" x14ac:dyDescent="0.2">
      <c r="A18" s="23" t="s">
        <v>357</v>
      </c>
      <c r="B18" s="23" t="s">
        <v>356</v>
      </c>
      <c r="C18" s="23" t="s">
        <v>131</v>
      </c>
      <c r="D18" s="23" t="s">
        <v>298</v>
      </c>
      <c r="E18" s="23">
        <v>0.32</v>
      </c>
      <c r="F18" s="23">
        <v>0.1</v>
      </c>
      <c r="G18" s="23">
        <v>0.22</v>
      </c>
    </row>
    <row r="19" spans="1:31" x14ac:dyDescent="0.2">
      <c r="A19" s="23" t="s">
        <v>358</v>
      </c>
      <c r="B19" s="23" t="s">
        <v>359</v>
      </c>
      <c r="C19" s="23" t="s">
        <v>131</v>
      </c>
      <c r="D19" s="23" t="s">
        <v>298</v>
      </c>
      <c r="E19" s="23">
        <v>0.47</v>
      </c>
      <c r="F19" s="23">
        <v>0.28000000000000003</v>
      </c>
      <c r="G19" s="23">
        <v>0.19</v>
      </c>
    </row>
    <row r="20" spans="1:31" x14ac:dyDescent="0.2">
      <c r="A20" s="23" t="s">
        <v>445</v>
      </c>
      <c r="B20" s="23" t="s">
        <v>435</v>
      </c>
      <c r="C20" s="23" t="s">
        <v>131</v>
      </c>
      <c r="D20" s="23" t="s">
        <v>298</v>
      </c>
      <c r="E20" s="23">
        <f>2.72+0.27</f>
        <v>2.99</v>
      </c>
      <c r="F20" s="23">
        <f>0.76+0.19</f>
        <v>0.95</v>
      </c>
      <c r="G20" s="23">
        <f>1.79</f>
        <v>1.79</v>
      </c>
      <c r="H20" s="23">
        <v>0.25</v>
      </c>
      <c r="I20" s="23">
        <v>0</v>
      </c>
    </row>
    <row r="21" spans="1:31" x14ac:dyDescent="0.2">
      <c r="A21" s="23" t="s">
        <v>509</v>
      </c>
      <c r="B21" s="23" t="s">
        <v>508</v>
      </c>
      <c r="C21" s="23" t="s">
        <v>131</v>
      </c>
      <c r="D21" s="23" t="s">
        <v>298</v>
      </c>
      <c r="E21" s="23">
        <v>0.7</v>
      </c>
      <c r="F21" s="23">
        <v>0.15</v>
      </c>
      <c r="G21" s="23">
        <v>0.44</v>
      </c>
      <c r="H21" s="23">
        <v>0.1</v>
      </c>
      <c r="I21" s="23">
        <v>0.01</v>
      </c>
    </row>
    <row r="22" spans="1:31" x14ac:dyDescent="0.2">
      <c r="A22" s="23" t="s">
        <v>50</v>
      </c>
      <c r="B22" s="23" t="s">
        <v>51</v>
      </c>
      <c r="C22" s="23" t="s">
        <v>52</v>
      </c>
      <c r="D22" s="23" t="s">
        <v>298</v>
      </c>
      <c r="E22" s="23">
        <v>1.34</v>
      </c>
      <c r="F22" s="23">
        <v>0.39</v>
      </c>
      <c r="G22" s="23">
        <v>0.75</v>
      </c>
      <c r="H22" s="23">
        <v>0.04</v>
      </c>
      <c r="I22" s="23">
        <v>0.05</v>
      </c>
      <c r="L22" s="23">
        <v>7</v>
      </c>
      <c r="M22" s="23">
        <v>0.1</v>
      </c>
      <c r="N22" s="23">
        <v>4</v>
      </c>
      <c r="O22" s="23" t="s">
        <v>21</v>
      </c>
      <c r="R22" s="23">
        <v>4</v>
      </c>
      <c r="S22" s="23">
        <v>0.01</v>
      </c>
      <c r="W22" s="23">
        <v>1</v>
      </c>
      <c r="AA22" s="23">
        <v>2</v>
      </c>
    </row>
    <row r="23" spans="1:31" x14ac:dyDescent="0.2">
      <c r="A23" s="23" t="s">
        <v>54</v>
      </c>
      <c r="B23" s="23" t="s">
        <v>34</v>
      </c>
      <c r="C23" s="23" t="s">
        <v>53</v>
      </c>
      <c r="D23" s="23" t="s">
        <v>298</v>
      </c>
      <c r="E23" s="23">
        <v>0.51</v>
      </c>
      <c r="F23" s="23">
        <v>0.17</v>
      </c>
      <c r="G23" s="23">
        <v>0.13</v>
      </c>
      <c r="H23" s="23">
        <v>0.17</v>
      </c>
      <c r="I23" s="23">
        <v>0.01</v>
      </c>
      <c r="R23" s="23">
        <v>6</v>
      </c>
      <c r="S23" s="23">
        <v>0.01</v>
      </c>
      <c r="T23" s="23">
        <v>1</v>
      </c>
      <c r="U23" s="23" t="s">
        <v>21</v>
      </c>
    </row>
    <row r="24" spans="1:31" x14ac:dyDescent="0.2">
      <c r="A24" s="24" t="s">
        <v>55</v>
      </c>
      <c r="B24" s="23" t="s">
        <v>34</v>
      </c>
      <c r="C24" s="23" t="s">
        <v>56</v>
      </c>
      <c r="D24" s="23" t="s">
        <v>298</v>
      </c>
      <c r="E24" s="23">
        <v>1.05</v>
      </c>
      <c r="F24" s="23">
        <v>0.3</v>
      </c>
      <c r="G24" s="23">
        <v>0.59</v>
      </c>
      <c r="H24" s="23">
        <v>0.15</v>
      </c>
      <c r="I24" s="23" t="s">
        <v>21</v>
      </c>
      <c r="R24" s="23">
        <v>3</v>
      </c>
      <c r="S24" s="23" t="s">
        <v>21</v>
      </c>
      <c r="T24" s="23">
        <v>1</v>
      </c>
      <c r="U24" s="23" t="s">
        <v>21</v>
      </c>
      <c r="Z24" s="23">
        <v>1</v>
      </c>
    </row>
    <row r="25" spans="1:31" x14ac:dyDescent="0.2">
      <c r="A25" s="23" t="s">
        <v>142</v>
      </c>
      <c r="B25" s="23" t="s">
        <v>143</v>
      </c>
      <c r="C25" s="23" t="s">
        <v>53</v>
      </c>
      <c r="D25" s="23" t="s">
        <v>298</v>
      </c>
      <c r="E25" s="23">
        <v>1.46</v>
      </c>
      <c r="F25" s="23">
        <v>0.62</v>
      </c>
      <c r="G25" s="23">
        <v>0.67</v>
      </c>
      <c r="H25" s="23">
        <v>0.08</v>
      </c>
      <c r="I25" s="23">
        <v>7.0000000000000007E-2</v>
      </c>
      <c r="R25" s="23">
        <v>4</v>
      </c>
      <c r="S25" s="23">
        <v>0.01</v>
      </c>
      <c r="V25" s="23">
        <v>2</v>
      </c>
      <c r="AB25" s="23">
        <v>17</v>
      </c>
    </row>
    <row r="26" spans="1:31" x14ac:dyDescent="0.2">
      <c r="A26" s="23" t="s">
        <v>152</v>
      </c>
      <c r="B26" s="23" t="s">
        <v>151</v>
      </c>
      <c r="C26" s="23" t="s">
        <v>52</v>
      </c>
      <c r="D26" s="23" t="s">
        <v>298</v>
      </c>
      <c r="E26" s="23">
        <v>0.44</v>
      </c>
      <c r="F26" s="23">
        <f>0.09</f>
        <v>0.09</v>
      </c>
      <c r="G26" s="23">
        <f>0.02</f>
        <v>0.02</v>
      </c>
      <c r="H26" s="23">
        <f>0.01</f>
        <v>0.01</v>
      </c>
      <c r="I26" s="23">
        <f>0.01</f>
        <v>0.01</v>
      </c>
      <c r="V26" s="23">
        <v>1</v>
      </c>
      <c r="X26" s="23">
        <v>1</v>
      </c>
      <c r="AB26" s="23">
        <v>11</v>
      </c>
    </row>
    <row r="27" spans="1:31" x14ac:dyDescent="0.2">
      <c r="A27" s="23" t="s">
        <v>184</v>
      </c>
      <c r="B27" s="23" t="s">
        <v>185</v>
      </c>
      <c r="C27" s="23" t="s">
        <v>165</v>
      </c>
      <c r="D27" s="23" t="s">
        <v>298</v>
      </c>
      <c r="E27" s="23">
        <v>0.89</v>
      </c>
      <c r="F27" s="23">
        <v>0.4</v>
      </c>
      <c r="G27" s="23">
        <v>0.39</v>
      </c>
      <c r="H27" s="23">
        <v>0.04</v>
      </c>
      <c r="I27" s="23">
        <v>0.01</v>
      </c>
      <c r="J27" s="23">
        <v>2</v>
      </c>
      <c r="K27" s="23">
        <v>0.01</v>
      </c>
      <c r="Z27" s="23">
        <v>1</v>
      </c>
    </row>
    <row r="28" spans="1:31" x14ac:dyDescent="0.2">
      <c r="A28" s="23" t="s">
        <v>604</v>
      </c>
      <c r="B28" s="23" t="s">
        <v>172</v>
      </c>
      <c r="C28" s="23" t="s">
        <v>605</v>
      </c>
      <c r="D28" s="23" t="s">
        <v>575</v>
      </c>
      <c r="E28" s="23">
        <v>0.94</v>
      </c>
      <c r="F28" s="23">
        <v>0.56000000000000005</v>
      </c>
      <c r="G28" s="23">
        <v>0.22999999999999998</v>
      </c>
      <c r="H28" s="23">
        <v>0.1</v>
      </c>
      <c r="I28" s="23">
        <v>0.01</v>
      </c>
      <c r="J28" s="23">
        <v>0</v>
      </c>
      <c r="K28" s="23">
        <v>0</v>
      </c>
      <c r="N28" s="23">
        <v>3</v>
      </c>
      <c r="O28" s="23">
        <v>0.01</v>
      </c>
      <c r="R28" s="23">
        <v>1</v>
      </c>
      <c r="S28" s="23">
        <v>0</v>
      </c>
      <c r="Y28" s="23">
        <v>1</v>
      </c>
      <c r="Z28" s="23">
        <v>0</v>
      </c>
    </row>
    <row r="29" spans="1:31" x14ac:dyDescent="0.2">
      <c r="B29" s="23" t="s">
        <v>359</v>
      </c>
      <c r="C29" s="23" t="s">
        <v>279</v>
      </c>
      <c r="D29" s="23" t="s">
        <v>298</v>
      </c>
      <c r="E29" s="23">
        <v>0.41</v>
      </c>
      <c r="F29" s="23">
        <v>0.18</v>
      </c>
      <c r="G29" s="23">
        <v>0.21</v>
      </c>
      <c r="H29" s="23">
        <v>0.01</v>
      </c>
      <c r="I29" s="23">
        <v>0.01</v>
      </c>
    </row>
    <row r="30" spans="1:31" x14ac:dyDescent="0.2">
      <c r="B30" s="23" t="s">
        <v>356</v>
      </c>
      <c r="C30" s="23" t="s">
        <v>279</v>
      </c>
      <c r="D30" s="23" t="s">
        <v>298</v>
      </c>
      <c r="E30" s="23">
        <v>0.16</v>
      </c>
      <c r="F30" s="23">
        <v>0.13</v>
      </c>
      <c r="G30" s="23">
        <v>0.03</v>
      </c>
    </row>
    <row r="31" spans="1:31" customFormat="1" x14ac:dyDescent="0.2">
      <c r="A31" t="s">
        <v>157</v>
      </c>
      <c r="B31" t="s">
        <v>155</v>
      </c>
      <c r="C31" t="s">
        <v>158</v>
      </c>
      <c r="D31" t="s">
        <v>298</v>
      </c>
      <c r="E31">
        <v>1.25</v>
      </c>
      <c r="F31">
        <v>0.75</v>
      </c>
      <c r="G31">
        <v>0.41</v>
      </c>
      <c r="H31">
        <v>7.0000000000000007E-2</v>
      </c>
      <c r="I31">
        <v>0.01</v>
      </c>
      <c r="AB31">
        <v>2</v>
      </c>
      <c r="AD31" s="23"/>
      <c r="AE31" s="23"/>
    </row>
    <row r="32" spans="1:31" customFormat="1" x14ac:dyDescent="0.2">
      <c r="B32" t="s">
        <v>189</v>
      </c>
      <c r="C32" t="s">
        <v>158</v>
      </c>
      <c r="D32" t="s">
        <v>298</v>
      </c>
      <c r="E32">
        <v>1.48</v>
      </c>
      <c r="F32">
        <v>0.85</v>
      </c>
      <c r="G32">
        <v>0.55000000000000004</v>
      </c>
      <c r="H32">
        <v>0.08</v>
      </c>
      <c r="AB32">
        <v>1</v>
      </c>
      <c r="AD32" s="23"/>
      <c r="AE32" s="23"/>
    </row>
    <row r="33" spans="1:31" customFormat="1" x14ac:dyDescent="0.2">
      <c r="A33" t="s">
        <v>191</v>
      </c>
      <c r="B33" t="s">
        <v>189</v>
      </c>
      <c r="C33" t="s">
        <v>192</v>
      </c>
      <c r="D33" t="s">
        <v>298</v>
      </c>
      <c r="E33">
        <v>0.43</v>
      </c>
      <c r="F33">
        <v>0.14000000000000001</v>
      </c>
      <c r="G33">
        <v>0.19</v>
      </c>
      <c r="H33">
        <v>0.1</v>
      </c>
      <c r="I33" t="s">
        <v>21</v>
      </c>
      <c r="T33" s="23"/>
      <c r="V33" s="23">
        <v>1</v>
      </c>
      <c r="Z33">
        <v>1</v>
      </c>
      <c r="AB33">
        <v>2</v>
      </c>
      <c r="AD33" s="23"/>
      <c r="AE33" s="23"/>
    </row>
    <row r="34" spans="1:31" customFormat="1" x14ac:dyDescent="0.2">
      <c r="A34" t="s">
        <v>196</v>
      </c>
      <c r="B34" t="s">
        <v>195</v>
      </c>
      <c r="C34" t="s">
        <v>197</v>
      </c>
      <c r="D34" t="s">
        <v>298</v>
      </c>
      <c r="E34">
        <v>1.43</v>
      </c>
      <c r="F34">
        <v>0.04</v>
      </c>
      <c r="G34">
        <v>0.45</v>
      </c>
      <c r="H34">
        <v>0.03</v>
      </c>
      <c r="I34">
        <v>0.91</v>
      </c>
    </row>
  </sheetData>
  <mergeCells count="9">
    <mergeCell ref="V3:X3"/>
    <mergeCell ref="Y3:AB3"/>
    <mergeCell ref="A1:XFD1"/>
    <mergeCell ref="A2:C2"/>
    <mergeCell ref="D2:I2"/>
    <mergeCell ref="J2:V2"/>
    <mergeCell ref="E3:I3"/>
    <mergeCell ref="J3:K3"/>
    <mergeCell ref="L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22F78-0157-F448-AB15-7E41BD16C3CA}">
  <dimension ref="A1:AY42"/>
  <sheetViews>
    <sheetView workbookViewId="0">
      <selection sqref="A1:B1"/>
    </sheetView>
  </sheetViews>
  <sheetFormatPr baseColWidth="10" defaultRowHeight="16" x14ac:dyDescent="0.2"/>
  <cols>
    <col min="1" max="1" width="17" customWidth="1"/>
    <col min="2" max="2" width="18" customWidth="1"/>
    <col min="3" max="3" width="15.6640625" customWidth="1"/>
  </cols>
  <sheetData>
    <row r="1" spans="1:51" ht="21" x14ac:dyDescent="0.25">
      <c r="A1" s="6" t="s">
        <v>623</v>
      </c>
      <c r="B1" s="35"/>
    </row>
    <row r="2" spans="1:51" x14ac:dyDescent="0.2">
      <c r="A2" s="10" t="s">
        <v>0</v>
      </c>
      <c r="B2" s="10"/>
      <c r="C2" s="10"/>
      <c r="D2" s="10" t="s">
        <v>10</v>
      </c>
      <c r="E2" s="10"/>
      <c r="F2" s="10"/>
      <c r="G2" s="10"/>
      <c r="H2" s="10"/>
      <c r="I2" s="10"/>
      <c r="J2" s="10" t="s">
        <v>11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2"/>
      <c r="AX2" s="2"/>
      <c r="AY2" s="2"/>
    </row>
    <row r="3" spans="1:51" x14ac:dyDescent="0.2">
      <c r="A3" s="4"/>
      <c r="B3" s="4"/>
      <c r="C3" s="4"/>
      <c r="D3" s="4"/>
      <c r="E3" s="34" t="s">
        <v>589</v>
      </c>
      <c r="F3" s="34"/>
      <c r="G3" s="34"/>
      <c r="H3" s="34"/>
      <c r="I3" s="34"/>
      <c r="J3" s="34" t="s">
        <v>627</v>
      </c>
      <c r="K3" s="7"/>
      <c r="L3" s="8"/>
      <c r="M3" s="8"/>
      <c r="N3" s="8"/>
      <c r="O3" s="8"/>
      <c r="P3" s="8"/>
      <c r="Q3" s="8"/>
      <c r="R3" s="8"/>
      <c r="S3" s="9"/>
      <c r="T3" s="7" t="s">
        <v>591</v>
      </c>
      <c r="U3" s="8"/>
      <c r="V3" s="8"/>
      <c r="W3" s="8"/>
      <c r="X3" s="8"/>
      <c r="Y3" s="8"/>
      <c r="Z3" s="8"/>
      <c r="AA3" s="8"/>
      <c r="AB3" s="8"/>
      <c r="AC3" s="9"/>
      <c r="AD3" s="7" t="s">
        <v>599</v>
      </c>
      <c r="AE3" s="8"/>
      <c r="AF3" s="8"/>
      <c r="AG3" s="8"/>
      <c r="AH3" s="8"/>
      <c r="AI3" s="8"/>
      <c r="AJ3" s="33"/>
      <c r="AK3" s="7" t="s">
        <v>592</v>
      </c>
      <c r="AL3" s="8"/>
      <c r="AM3" s="8"/>
      <c r="AN3" s="8"/>
      <c r="AO3" s="9"/>
      <c r="AP3" s="7" t="s">
        <v>598</v>
      </c>
      <c r="AQ3" s="8"/>
      <c r="AR3" s="8"/>
      <c r="AS3" s="8"/>
      <c r="AT3" s="9"/>
      <c r="AU3" s="7" t="s">
        <v>594</v>
      </c>
      <c r="AV3" s="8"/>
      <c r="AW3" s="8"/>
      <c r="AX3" s="8"/>
      <c r="AY3" s="9"/>
    </row>
    <row r="4" spans="1:51" x14ac:dyDescent="0.2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12</v>
      </c>
      <c r="K4" s="5" t="s">
        <v>13</v>
      </c>
      <c r="L4" s="5" t="s">
        <v>632</v>
      </c>
      <c r="M4" s="5" t="s">
        <v>633</v>
      </c>
      <c r="N4" s="5" t="s">
        <v>695</v>
      </c>
      <c r="O4" s="5" t="s">
        <v>639</v>
      </c>
      <c r="P4" s="2" t="s">
        <v>640</v>
      </c>
      <c r="Q4" s="2" t="s">
        <v>633</v>
      </c>
      <c r="R4" s="2" t="s">
        <v>614</v>
      </c>
      <c r="S4" s="2" t="s">
        <v>613</v>
      </c>
      <c r="T4" s="5" t="s">
        <v>644</v>
      </c>
      <c r="U4" s="5" t="s">
        <v>645</v>
      </c>
      <c r="V4" s="5" t="s">
        <v>646</v>
      </c>
      <c r="W4" s="5" t="s">
        <v>647</v>
      </c>
      <c r="X4" s="5" t="s">
        <v>652</v>
      </c>
      <c r="Y4" s="5" t="s">
        <v>676</v>
      </c>
      <c r="Z4" s="5" t="s">
        <v>701</v>
      </c>
      <c r="AA4" s="5" t="s">
        <v>681</v>
      </c>
      <c r="AB4" s="5" t="s">
        <v>19</v>
      </c>
      <c r="AC4" s="5" t="s">
        <v>20</v>
      </c>
      <c r="AD4" s="5" t="s">
        <v>659</v>
      </c>
      <c r="AE4" s="5" t="s">
        <v>47</v>
      </c>
      <c r="AF4" s="2" t="s">
        <v>702</v>
      </c>
      <c r="AG4" s="5" t="s">
        <v>660</v>
      </c>
      <c r="AH4" s="5" t="s">
        <v>703</v>
      </c>
      <c r="AI4" s="2" t="s">
        <v>704</v>
      </c>
      <c r="AJ4" s="5" t="s">
        <v>654</v>
      </c>
      <c r="AK4" s="5" t="s">
        <v>655</v>
      </c>
      <c r="AL4" s="5" t="s">
        <v>656</v>
      </c>
      <c r="AM4" s="2" t="s">
        <v>705</v>
      </c>
      <c r="AN4" s="5" t="s">
        <v>658</v>
      </c>
      <c r="AO4" s="5" t="s">
        <v>706</v>
      </c>
      <c r="AP4" s="5" t="s">
        <v>665</v>
      </c>
      <c r="AQ4" s="5" t="s">
        <v>600</v>
      </c>
      <c r="AR4" s="2" t="s">
        <v>411</v>
      </c>
      <c r="AS4" s="2" t="s">
        <v>707</v>
      </c>
      <c r="AT4" s="5" t="s">
        <v>666</v>
      </c>
      <c r="AU4" s="5" t="s">
        <v>67</v>
      </c>
      <c r="AV4" s="5" t="s">
        <v>271</v>
      </c>
      <c r="AW4" s="5" t="s">
        <v>628</v>
      </c>
      <c r="AX4" s="5" t="s">
        <v>49</v>
      </c>
      <c r="AY4" s="5" t="s">
        <v>90</v>
      </c>
    </row>
    <row r="5" spans="1:51" x14ac:dyDescent="0.2">
      <c r="A5" s="23" t="s">
        <v>57</v>
      </c>
      <c r="B5" s="23" t="s">
        <v>51</v>
      </c>
      <c r="C5" s="23" t="s">
        <v>58</v>
      </c>
      <c r="D5" s="23" t="s">
        <v>298</v>
      </c>
      <c r="E5" s="23">
        <v>1.71</v>
      </c>
      <c r="F5" s="23">
        <v>0.36</v>
      </c>
      <c r="G5" s="23">
        <v>0.91</v>
      </c>
      <c r="H5" s="23">
        <v>0.35</v>
      </c>
      <c r="I5" s="23">
        <v>0.03</v>
      </c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>
        <v>2</v>
      </c>
      <c r="AA5" s="23" t="s">
        <v>21</v>
      </c>
      <c r="AB5" s="23">
        <v>2</v>
      </c>
      <c r="AC5" s="23" t="s">
        <v>21</v>
      </c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>
        <v>1</v>
      </c>
      <c r="AX5" s="23">
        <v>2</v>
      </c>
      <c r="AY5" s="23"/>
    </row>
    <row r="6" spans="1:51" x14ac:dyDescent="0.2">
      <c r="A6" s="23" t="s">
        <v>112</v>
      </c>
      <c r="B6" s="23" t="s">
        <v>113</v>
      </c>
      <c r="C6" s="23" t="s">
        <v>16</v>
      </c>
      <c r="D6" s="23" t="s">
        <v>297</v>
      </c>
      <c r="E6" s="23">
        <f>1.09+7.57</f>
        <v>8.66</v>
      </c>
      <c r="F6" s="23">
        <v>1.56</v>
      </c>
      <c r="G6" s="23">
        <v>3.37</v>
      </c>
      <c r="H6" s="23">
        <v>2.06</v>
      </c>
      <c r="I6" s="23">
        <v>1.05</v>
      </c>
      <c r="J6" s="23"/>
      <c r="K6" s="23"/>
      <c r="L6" s="23"/>
      <c r="M6" s="23"/>
      <c r="N6" s="23"/>
      <c r="O6" s="23"/>
      <c r="P6" s="23"/>
      <c r="Q6" s="23"/>
      <c r="R6" s="23"/>
      <c r="S6" s="23"/>
      <c r="T6" s="23">
        <v>23</v>
      </c>
      <c r="U6" s="23">
        <v>0.34</v>
      </c>
      <c r="V6" s="23">
        <v>8</v>
      </c>
      <c r="W6" s="23">
        <v>0.28000000000000003</v>
      </c>
      <c r="X6" s="23">
        <v>2</v>
      </c>
      <c r="Y6" s="23" t="s">
        <v>21</v>
      </c>
      <c r="Z6" s="23">
        <v>1</v>
      </c>
      <c r="AA6" s="23" t="s">
        <v>21</v>
      </c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>
        <v>2</v>
      </c>
      <c r="AX6" s="23"/>
      <c r="AY6" s="23"/>
    </row>
    <row r="7" spans="1:51" x14ac:dyDescent="0.2">
      <c r="A7" s="23" t="s">
        <v>117</v>
      </c>
      <c r="B7" s="23" t="s">
        <v>113</v>
      </c>
      <c r="C7" s="23" t="s">
        <v>59</v>
      </c>
      <c r="D7" s="23" t="s">
        <v>297</v>
      </c>
      <c r="E7" s="23">
        <f>11.9+1.14</f>
        <v>13.040000000000001</v>
      </c>
      <c r="F7" s="23">
        <v>3.9</v>
      </c>
      <c r="G7" s="23">
        <v>4.95</v>
      </c>
      <c r="H7" s="23">
        <v>2.5499999999999998</v>
      </c>
      <c r="I7" s="23">
        <f>0.24+0.29+0.55</f>
        <v>1.08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>
        <v>26</v>
      </c>
      <c r="U7" s="23">
        <v>0.78</v>
      </c>
      <c r="V7" s="23">
        <v>7</v>
      </c>
      <c r="W7" s="23">
        <v>0.32</v>
      </c>
      <c r="X7" s="23"/>
      <c r="Y7" s="23"/>
      <c r="Z7" s="23">
        <v>4</v>
      </c>
      <c r="AA7" s="23" t="s">
        <v>21</v>
      </c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>
        <v>1</v>
      </c>
      <c r="AX7" s="23"/>
      <c r="AY7" s="23">
        <v>3</v>
      </c>
    </row>
    <row r="8" spans="1:51" x14ac:dyDescent="0.2">
      <c r="A8" s="23" t="s">
        <v>118</v>
      </c>
      <c r="B8" s="23" t="s">
        <v>113</v>
      </c>
      <c r="C8" s="23" t="s">
        <v>63</v>
      </c>
      <c r="D8" s="25" t="s">
        <v>297</v>
      </c>
      <c r="E8" s="23">
        <f>6.23+1.97</f>
        <v>8.2000000000000011</v>
      </c>
      <c r="F8" s="23">
        <v>1.55</v>
      </c>
      <c r="G8" s="23">
        <f>3.08+0.95</f>
        <v>4.03</v>
      </c>
      <c r="H8" s="23">
        <v>0.95</v>
      </c>
      <c r="I8" s="23">
        <v>0.44</v>
      </c>
      <c r="J8" s="23"/>
      <c r="K8" s="23"/>
      <c r="L8" s="23"/>
      <c r="M8" s="23"/>
      <c r="N8" s="23"/>
      <c r="O8" s="23"/>
      <c r="P8" s="23"/>
      <c r="Q8" s="23"/>
      <c r="R8" s="23"/>
      <c r="S8" s="23"/>
      <c r="T8" s="23">
        <v>9</v>
      </c>
      <c r="U8" s="23">
        <v>0.21</v>
      </c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>
        <v>1</v>
      </c>
      <c r="AV8" s="23"/>
      <c r="AW8" s="23"/>
      <c r="AX8" s="23">
        <v>1</v>
      </c>
      <c r="AY8" s="23">
        <v>86</v>
      </c>
    </row>
    <row r="9" spans="1:51" x14ac:dyDescent="0.2">
      <c r="A9" s="23">
        <v>132483</v>
      </c>
      <c r="B9" s="23" t="s">
        <v>113</v>
      </c>
      <c r="C9" s="23" t="s">
        <v>66</v>
      </c>
      <c r="D9" s="25" t="s">
        <v>297</v>
      </c>
      <c r="E9" s="23">
        <v>0.5</v>
      </c>
      <c r="F9" s="23">
        <v>0.23</v>
      </c>
      <c r="G9" s="23">
        <v>0.23</v>
      </c>
      <c r="H9" s="23">
        <v>0.03</v>
      </c>
      <c r="I9" s="23">
        <v>0.01</v>
      </c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</row>
    <row r="10" spans="1:51" x14ac:dyDescent="0.2">
      <c r="A10" s="23" t="s">
        <v>119</v>
      </c>
      <c r="B10" s="23" t="s">
        <v>113</v>
      </c>
      <c r="C10" s="23" t="s">
        <v>69</v>
      </c>
      <c r="D10" s="25" t="s">
        <v>297</v>
      </c>
      <c r="E10" s="23">
        <v>0.08</v>
      </c>
      <c r="F10" s="23">
        <v>0.06</v>
      </c>
      <c r="G10" s="23">
        <v>0.01</v>
      </c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>
        <v>1</v>
      </c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</row>
    <row r="11" spans="1:51" x14ac:dyDescent="0.2">
      <c r="A11" s="23" t="s">
        <v>144</v>
      </c>
      <c r="B11" s="23" t="s">
        <v>146</v>
      </c>
      <c r="C11" s="23" t="s">
        <v>145</v>
      </c>
      <c r="D11" s="23" t="s">
        <v>298</v>
      </c>
      <c r="E11" s="23">
        <v>1.44</v>
      </c>
      <c r="F11" s="23">
        <v>0.66</v>
      </c>
      <c r="G11" s="23">
        <v>0.59</v>
      </c>
      <c r="H11" s="23">
        <v>0.02</v>
      </c>
      <c r="I11" s="23">
        <v>0.15</v>
      </c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>
        <v>4</v>
      </c>
      <c r="U11" s="23">
        <v>0.01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>
        <v>1</v>
      </c>
      <c r="AR11" s="23"/>
      <c r="AS11" s="23"/>
      <c r="AT11" s="23"/>
      <c r="AU11" s="23"/>
      <c r="AV11" s="23"/>
      <c r="AW11" s="23"/>
      <c r="AX11" s="23"/>
      <c r="AY11" s="23">
        <v>11</v>
      </c>
    </row>
    <row r="12" spans="1:51" x14ac:dyDescent="0.2">
      <c r="A12" s="23">
        <v>132252</v>
      </c>
      <c r="B12" s="23" t="s">
        <v>146</v>
      </c>
      <c r="C12" s="23" t="s">
        <v>58</v>
      </c>
      <c r="D12" s="23" t="s">
        <v>298</v>
      </c>
      <c r="E12" s="23">
        <v>0.03</v>
      </c>
      <c r="F12" s="23"/>
      <c r="G12" s="23"/>
      <c r="H12" s="23"/>
      <c r="I12" s="23">
        <v>0.03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</row>
    <row r="13" spans="1:51" x14ac:dyDescent="0.2">
      <c r="A13" s="23" t="s">
        <v>168</v>
      </c>
      <c r="B13" s="23" t="s">
        <v>155</v>
      </c>
      <c r="C13" s="23" t="s">
        <v>133</v>
      </c>
      <c r="D13" s="23" t="s">
        <v>298</v>
      </c>
      <c r="E13" s="23">
        <f>0.62+0.79</f>
        <v>1.4100000000000001</v>
      </c>
      <c r="F13" s="23">
        <v>0.62</v>
      </c>
      <c r="G13" s="23">
        <v>0.61</v>
      </c>
      <c r="H13" s="23">
        <v>0.16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>
        <v>4</v>
      </c>
      <c r="W13" s="23">
        <v>0.02</v>
      </c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7">
        <v>2</v>
      </c>
      <c r="AX13" s="23"/>
      <c r="AY13" s="23">
        <v>9</v>
      </c>
    </row>
    <row r="14" spans="1:51" x14ac:dyDescent="0.2">
      <c r="A14" s="23" t="s">
        <v>169</v>
      </c>
      <c r="B14" s="23" t="s">
        <v>155</v>
      </c>
      <c r="C14" s="23" t="s">
        <v>170</v>
      </c>
      <c r="D14" s="23" t="s">
        <v>298</v>
      </c>
      <c r="E14" s="23">
        <f>2.26+0.38</f>
        <v>2.6399999999999997</v>
      </c>
      <c r="F14" s="23">
        <v>1.08</v>
      </c>
      <c r="G14" s="23">
        <v>1.3</v>
      </c>
      <c r="H14" s="23">
        <v>0.2</v>
      </c>
      <c r="I14" s="23">
        <v>0.01</v>
      </c>
      <c r="J14" s="23">
        <v>1</v>
      </c>
      <c r="K14" s="23" t="s">
        <v>21</v>
      </c>
      <c r="L14" s="23"/>
      <c r="M14" s="23"/>
      <c r="N14" s="23">
        <v>1</v>
      </c>
      <c r="O14" s="23" t="s">
        <v>21</v>
      </c>
      <c r="P14" s="23"/>
      <c r="Q14" s="23"/>
      <c r="R14" s="23"/>
      <c r="S14" s="23"/>
      <c r="T14" s="23">
        <v>4</v>
      </c>
      <c r="U14" s="23">
        <v>0.02</v>
      </c>
      <c r="V14" s="23"/>
      <c r="W14" s="23"/>
      <c r="X14" s="23">
        <v>2</v>
      </c>
      <c r="Y14" s="23" t="s">
        <v>21</v>
      </c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>
        <v>1</v>
      </c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>
        <v>2</v>
      </c>
      <c r="AX14" s="23"/>
      <c r="AY14" s="23">
        <v>24</v>
      </c>
    </row>
    <row r="15" spans="1:51" x14ac:dyDescent="0.2">
      <c r="A15" s="23" t="s">
        <v>187</v>
      </c>
      <c r="B15" s="23" t="s">
        <v>155</v>
      </c>
      <c r="C15" s="23" t="s">
        <v>188</v>
      </c>
      <c r="D15" s="23" t="s">
        <v>298</v>
      </c>
      <c r="E15" s="23">
        <v>0.57999999999999996</v>
      </c>
      <c r="F15" s="23">
        <v>0.19</v>
      </c>
      <c r="G15" s="23">
        <v>0.37</v>
      </c>
      <c r="H15" s="23">
        <v>0.01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>
        <v>1</v>
      </c>
      <c r="AA15" s="23" t="s">
        <v>21</v>
      </c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>
        <v>7</v>
      </c>
    </row>
    <row r="16" spans="1:51" x14ac:dyDescent="0.2">
      <c r="A16" s="23" t="s">
        <v>190</v>
      </c>
      <c r="B16" s="23" t="s">
        <v>189</v>
      </c>
      <c r="C16" s="23" t="s">
        <v>170</v>
      </c>
      <c r="D16" s="23" t="s">
        <v>298</v>
      </c>
      <c r="E16" s="23">
        <v>1.38</v>
      </c>
      <c r="F16" s="23">
        <v>0.27</v>
      </c>
      <c r="G16" s="23">
        <v>1.07</v>
      </c>
      <c r="H16" s="23">
        <v>0.02</v>
      </c>
      <c r="I16" s="23">
        <v>0.02</v>
      </c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>
        <v>2</v>
      </c>
    </row>
    <row r="17" spans="1:51" x14ac:dyDescent="0.2">
      <c r="A17" s="23" t="s">
        <v>194</v>
      </c>
      <c r="B17" s="23" t="s">
        <v>195</v>
      </c>
      <c r="C17" s="23" t="s">
        <v>170</v>
      </c>
      <c r="D17" s="23" t="s">
        <v>298</v>
      </c>
      <c r="E17" s="23">
        <v>1.66</v>
      </c>
      <c r="F17" s="23">
        <v>0.69</v>
      </c>
      <c r="G17" s="23">
        <v>0.83</v>
      </c>
      <c r="H17" s="23">
        <v>0.01</v>
      </c>
      <c r="I17" s="23">
        <v>0.02</v>
      </c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>
        <v>1</v>
      </c>
      <c r="AC17" s="23" t="s">
        <v>21</v>
      </c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>
        <v>6</v>
      </c>
    </row>
    <row r="18" spans="1:51" x14ac:dyDescent="0.2">
      <c r="A18" s="23" t="s">
        <v>270</v>
      </c>
      <c r="B18" s="23" t="s">
        <v>261</v>
      </c>
      <c r="C18" s="23" t="s">
        <v>253</v>
      </c>
      <c r="D18" s="23" t="s">
        <v>298</v>
      </c>
      <c r="E18" s="23">
        <f>4.88+0.34</f>
        <v>5.22</v>
      </c>
      <c r="F18" s="23">
        <v>0.09</v>
      </c>
      <c r="G18" s="23">
        <v>2.11</v>
      </c>
      <c r="H18" s="23">
        <v>0.18</v>
      </c>
      <c r="I18" s="23">
        <f>2.43+0.18</f>
        <v>2.6100000000000003</v>
      </c>
      <c r="J18" s="23"/>
      <c r="K18" s="23"/>
      <c r="L18" s="23">
        <v>1</v>
      </c>
      <c r="M18" s="23" t="s">
        <v>21</v>
      </c>
      <c r="N18" s="23"/>
      <c r="O18" s="23"/>
      <c r="P18" s="23"/>
      <c r="Q18" s="23"/>
      <c r="R18" s="23"/>
      <c r="S18" s="23"/>
      <c r="T18" s="23">
        <v>5</v>
      </c>
      <c r="U18" s="23">
        <v>0.06</v>
      </c>
      <c r="V18" s="23"/>
      <c r="W18" s="23"/>
      <c r="X18" s="23"/>
      <c r="Y18" s="23"/>
      <c r="Z18" s="23"/>
      <c r="AA18" s="23"/>
      <c r="AB18" s="23"/>
      <c r="AC18" s="23"/>
      <c r="AD18" s="23">
        <v>1</v>
      </c>
      <c r="AE18" s="23"/>
      <c r="AF18" s="23"/>
      <c r="AG18" s="23"/>
      <c r="AH18" s="23"/>
      <c r="AI18" s="23"/>
      <c r="AJ18" s="23">
        <v>1</v>
      </c>
      <c r="AK18" s="23">
        <v>1</v>
      </c>
      <c r="AL18" s="23"/>
      <c r="AM18" s="23"/>
      <c r="AN18" s="23"/>
      <c r="AO18" s="23"/>
      <c r="AP18" s="23"/>
      <c r="AQ18" s="23"/>
      <c r="AR18" s="23">
        <v>2</v>
      </c>
      <c r="AS18" s="23"/>
      <c r="AT18" s="23"/>
      <c r="AU18" s="23"/>
      <c r="AV18" s="23">
        <v>1</v>
      </c>
      <c r="AW18" s="23">
        <v>3</v>
      </c>
      <c r="AX18" s="23"/>
      <c r="AY18" s="23"/>
    </row>
    <row r="19" spans="1:51" x14ac:dyDescent="0.2">
      <c r="A19" s="23" t="s">
        <v>355</v>
      </c>
      <c r="B19" s="23" t="s">
        <v>356</v>
      </c>
      <c r="C19" s="23" t="s">
        <v>35</v>
      </c>
      <c r="D19" s="23" t="s">
        <v>298</v>
      </c>
      <c r="E19" s="23">
        <v>0.68</v>
      </c>
      <c r="F19" s="23">
        <v>0.28999999999999998</v>
      </c>
      <c r="G19" s="23">
        <v>0.39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>
        <v>3</v>
      </c>
    </row>
    <row r="20" spans="1:51" x14ac:dyDescent="0.2">
      <c r="A20" s="23" t="s">
        <v>360</v>
      </c>
      <c r="B20" s="23" t="s">
        <v>361</v>
      </c>
      <c r="C20" s="23" t="s">
        <v>35</v>
      </c>
      <c r="D20" s="23" t="s">
        <v>298</v>
      </c>
      <c r="E20" s="23">
        <v>0.51</v>
      </c>
      <c r="F20" s="23">
        <v>0.15</v>
      </c>
      <c r="G20" s="23">
        <v>0.35</v>
      </c>
      <c r="H20" s="23" t="s">
        <v>21</v>
      </c>
      <c r="I20" s="23" t="s">
        <v>21</v>
      </c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>
        <v>21</v>
      </c>
    </row>
    <row r="21" spans="1:51" x14ac:dyDescent="0.2">
      <c r="A21" s="23" t="s">
        <v>444</v>
      </c>
      <c r="B21" s="23" t="s">
        <v>435</v>
      </c>
      <c r="C21" s="23" t="s">
        <v>35</v>
      </c>
      <c r="D21" s="23" t="s">
        <v>298</v>
      </c>
      <c r="E21" s="23">
        <v>0.47</v>
      </c>
      <c r="F21" s="23">
        <v>0.21</v>
      </c>
      <c r="G21" s="23">
        <v>0.24</v>
      </c>
      <c r="H21" s="23"/>
      <c r="I21" s="23">
        <v>0.01</v>
      </c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>
        <v>1</v>
      </c>
      <c r="AY21" s="23"/>
    </row>
    <row r="22" spans="1:51" x14ac:dyDescent="0.2">
      <c r="A22" s="23" t="s">
        <v>446</v>
      </c>
      <c r="B22" s="23" t="s">
        <v>447</v>
      </c>
      <c r="C22" s="23" t="s">
        <v>35</v>
      </c>
      <c r="D22" s="23" t="s">
        <v>298</v>
      </c>
      <c r="E22" s="23">
        <v>0.93</v>
      </c>
      <c r="F22" s="23">
        <v>0.33</v>
      </c>
      <c r="G22" s="23">
        <v>0.34</v>
      </c>
      <c r="H22" s="23">
        <v>0.25</v>
      </c>
      <c r="I22" s="23">
        <v>0.01</v>
      </c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</row>
    <row r="23" spans="1:51" x14ac:dyDescent="0.2">
      <c r="A23" s="23" t="s">
        <v>473</v>
      </c>
      <c r="B23" s="23" t="s">
        <v>474</v>
      </c>
      <c r="C23" s="23" t="s">
        <v>16</v>
      </c>
      <c r="D23" s="23" t="s">
        <v>297</v>
      </c>
      <c r="E23" s="23">
        <v>3.47</v>
      </c>
      <c r="F23" s="23">
        <v>7.0000000000000007E-2</v>
      </c>
      <c r="G23" s="23">
        <v>0.32</v>
      </c>
      <c r="H23" s="23">
        <v>2.96</v>
      </c>
      <c r="I23" s="23">
        <v>0.11</v>
      </c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>
        <v>1</v>
      </c>
      <c r="U23" s="23" t="s">
        <v>21</v>
      </c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>
        <v>8</v>
      </c>
    </row>
    <row r="24" spans="1:51" x14ac:dyDescent="0.2">
      <c r="A24" s="23" t="s">
        <v>475</v>
      </c>
      <c r="B24" s="23" t="s">
        <v>474</v>
      </c>
      <c r="C24" s="23" t="s">
        <v>59</v>
      </c>
      <c r="D24" s="23" t="s">
        <v>297</v>
      </c>
      <c r="E24" s="23">
        <f>8.84+0.18</f>
        <v>9.02</v>
      </c>
      <c r="F24" s="23">
        <f>0.48</f>
        <v>0.48</v>
      </c>
      <c r="G24" s="23">
        <v>1.96</v>
      </c>
      <c r="H24" s="23">
        <f>6.48</f>
        <v>6.48</v>
      </c>
      <c r="I24" s="23">
        <f>0.09</f>
        <v>0.09</v>
      </c>
      <c r="J24" s="23"/>
      <c r="K24" s="23"/>
      <c r="L24" s="23"/>
      <c r="M24" s="23"/>
      <c r="N24" s="23">
        <v>1</v>
      </c>
      <c r="O24" s="23" t="s">
        <v>21</v>
      </c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>
        <v>1</v>
      </c>
      <c r="AU24" s="23"/>
      <c r="AV24" s="23"/>
      <c r="AW24" s="23"/>
      <c r="AX24" s="23"/>
      <c r="AY24" s="23"/>
    </row>
    <row r="25" spans="1:51" x14ac:dyDescent="0.2">
      <c r="A25" s="23" t="s">
        <v>489</v>
      </c>
      <c r="B25" s="23" t="s">
        <v>490</v>
      </c>
      <c r="C25" s="23" t="s">
        <v>16</v>
      </c>
      <c r="D25" s="23" t="s">
        <v>297</v>
      </c>
      <c r="E25" s="23">
        <f>2.53+44.36</f>
        <v>46.89</v>
      </c>
      <c r="F25" s="23">
        <f>13.72+1.14</f>
        <v>14.860000000000001</v>
      </c>
      <c r="G25" s="23">
        <f>0.51+11.29</f>
        <v>11.799999999999999</v>
      </c>
      <c r="H25" s="23">
        <f>16.21</f>
        <v>16.21</v>
      </c>
      <c r="I25" s="23">
        <f>3.02+0.84</f>
        <v>3.86</v>
      </c>
      <c r="J25" s="23">
        <v>10</v>
      </c>
      <c r="K25" s="23">
        <v>0.09</v>
      </c>
      <c r="L25" s="23">
        <v>7</v>
      </c>
      <c r="M25" s="23">
        <v>0.01</v>
      </c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>
        <v>1</v>
      </c>
      <c r="AK25" s="23"/>
      <c r="AL25" s="23">
        <v>1</v>
      </c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>
        <v>1</v>
      </c>
      <c r="AX25" s="23"/>
      <c r="AY25" s="23">
        <v>85</v>
      </c>
    </row>
    <row r="26" spans="1:51" x14ac:dyDescent="0.2">
      <c r="A26" s="23" t="s">
        <v>491</v>
      </c>
      <c r="B26" s="23" t="s">
        <v>490</v>
      </c>
      <c r="C26" s="23" t="s">
        <v>59</v>
      </c>
      <c r="D26" s="23" t="s">
        <v>297</v>
      </c>
      <c r="E26" s="23">
        <f>13.98+2.48</f>
        <v>16.46</v>
      </c>
      <c r="F26" s="23">
        <f>7.42+2.08</f>
        <v>9.5</v>
      </c>
      <c r="G26" s="23">
        <f>3.99+0.27</f>
        <v>4.26</v>
      </c>
      <c r="H26" s="23">
        <f>2.04</f>
        <v>2.04</v>
      </c>
      <c r="I26" s="23">
        <f>0.59</f>
        <v>0.59</v>
      </c>
      <c r="J26" s="23">
        <v>5</v>
      </c>
      <c r="K26" s="23">
        <v>0.01</v>
      </c>
      <c r="L26" s="23">
        <v>3</v>
      </c>
      <c r="M26" s="23" t="s">
        <v>21</v>
      </c>
      <c r="N26" s="23"/>
      <c r="O26" s="23"/>
      <c r="P26" s="23"/>
      <c r="Q26" s="23"/>
      <c r="R26" s="23"/>
      <c r="S26" s="23"/>
      <c r="T26" s="23">
        <v>4</v>
      </c>
      <c r="U26" s="23">
        <v>0.01</v>
      </c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>
        <v>1</v>
      </c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>
        <v>25</v>
      </c>
    </row>
    <row r="27" spans="1:51" x14ac:dyDescent="0.2">
      <c r="A27" s="23" t="s">
        <v>492</v>
      </c>
      <c r="B27" s="23" t="s">
        <v>490</v>
      </c>
      <c r="C27" s="23" t="s">
        <v>32</v>
      </c>
      <c r="D27" s="23" t="s">
        <v>297</v>
      </c>
      <c r="E27" s="23">
        <f>0.88</f>
        <v>0.88</v>
      </c>
      <c r="F27" s="23">
        <v>0.14000000000000001</v>
      </c>
      <c r="G27" s="23">
        <v>0.55000000000000004</v>
      </c>
      <c r="H27" s="23">
        <v>0.11</v>
      </c>
      <c r="I27" s="23">
        <v>7.0000000000000007E-2</v>
      </c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>
        <v>3</v>
      </c>
      <c r="U27" s="23" t="s">
        <v>21</v>
      </c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</row>
    <row r="28" spans="1:51" x14ac:dyDescent="0.2">
      <c r="A28" s="23" t="s">
        <v>493</v>
      </c>
      <c r="B28" s="23" t="s">
        <v>490</v>
      </c>
      <c r="C28" s="23" t="s">
        <v>35</v>
      </c>
      <c r="D28" s="23" t="s">
        <v>297</v>
      </c>
      <c r="E28" s="23">
        <v>0.52</v>
      </c>
      <c r="F28" s="23">
        <v>0.31</v>
      </c>
      <c r="G28" s="23">
        <v>0.13</v>
      </c>
      <c r="H28" s="23">
        <v>0.06</v>
      </c>
      <c r="I28" s="23">
        <v>0.02</v>
      </c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</row>
    <row r="29" spans="1:51" x14ac:dyDescent="0.2">
      <c r="A29" s="23" t="s">
        <v>494</v>
      </c>
      <c r="B29" s="23" t="s">
        <v>490</v>
      </c>
      <c r="C29" s="23" t="s">
        <v>131</v>
      </c>
      <c r="D29" s="23" t="s">
        <v>297</v>
      </c>
      <c r="E29" s="23">
        <f>23.78+1.89</f>
        <v>25.67</v>
      </c>
      <c r="F29" s="23">
        <f>8.09+1.23</f>
        <v>9.32</v>
      </c>
      <c r="G29" s="23">
        <f>5.88+0.44</f>
        <v>6.32</v>
      </c>
      <c r="H29" s="23">
        <f>8.51</f>
        <v>8.51</v>
      </c>
      <c r="I29" s="23">
        <f>0.19+1.24</f>
        <v>1.43</v>
      </c>
      <c r="J29" s="23"/>
      <c r="K29" s="23"/>
      <c r="L29" s="23">
        <v>2</v>
      </c>
      <c r="M29" s="23" t="s">
        <v>21</v>
      </c>
      <c r="N29" s="23"/>
      <c r="O29" s="23"/>
      <c r="P29" s="23"/>
      <c r="Q29" s="23"/>
      <c r="R29" s="23"/>
      <c r="S29" s="23"/>
      <c r="T29" s="23">
        <v>3</v>
      </c>
      <c r="U29" s="23">
        <v>0.04</v>
      </c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>
        <v>1</v>
      </c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>
        <v>2</v>
      </c>
      <c r="AU29" s="23"/>
      <c r="AV29" s="23"/>
      <c r="AW29" s="23"/>
      <c r="AX29" s="23"/>
      <c r="AY29" s="23">
        <v>13</v>
      </c>
    </row>
    <row r="30" spans="1:51" x14ac:dyDescent="0.2">
      <c r="A30" s="23" t="s">
        <v>495</v>
      </c>
      <c r="B30" s="23" t="s">
        <v>490</v>
      </c>
      <c r="C30" s="23" t="s">
        <v>133</v>
      </c>
      <c r="D30" s="23" t="s">
        <v>297</v>
      </c>
      <c r="E30" s="23">
        <f>15.98+0.78</f>
        <v>16.760000000000002</v>
      </c>
      <c r="F30" s="23">
        <f>4.57</f>
        <v>4.57</v>
      </c>
      <c r="G30" s="23">
        <f>3.62+0.24</f>
        <v>3.8600000000000003</v>
      </c>
      <c r="H30" s="23">
        <f>6.87</f>
        <v>6.87</v>
      </c>
      <c r="I30" s="23">
        <f>1.13</f>
        <v>1.1299999999999999</v>
      </c>
      <c r="J30" s="23">
        <v>1</v>
      </c>
      <c r="K30" s="23" t="s">
        <v>21</v>
      </c>
      <c r="L30" s="23"/>
      <c r="M30" s="23"/>
      <c r="N30" s="23"/>
      <c r="O30" s="23"/>
      <c r="P30" s="23"/>
      <c r="Q30" s="23"/>
      <c r="R30" s="23"/>
      <c r="S30" s="23"/>
      <c r="T30" s="23">
        <v>14</v>
      </c>
      <c r="U30" s="23">
        <v>0.12</v>
      </c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>
        <v>1</v>
      </c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>
        <v>1</v>
      </c>
      <c r="AX30" s="23"/>
      <c r="AY30" s="23">
        <v>5</v>
      </c>
    </row>
    <row r="31" spans="1:51" x14ac:dyDescent="0.2">
      <c r="A31" s="23" t="s">
        <v>496</v>
      </c>
      <c r="B31" s="23" t="s">
        <v>490</v>
      </c>
      <c r="C31" s="23" t="s">
        <v>497</v>
      </c>
      <c r="D31" s="23" t="s">
        <v>297</v>
      </c>
      <c r="E31" s="23">
        <f>64.38+2.07</f>
        <v>66.449999999999989</v>
      </c>
      <c r="F31" s="23">
        <f>0.82+5.75</f>
        <v>6.57</v>
      </c>
      <c r="G31" s="23">
        <f>5.93+0.45</f>
        <v>6.38</v>
      </c>
      <c r="H31" s="23">
        <f>50.56</f>
        <v>50.56</v>
      </c>
      <c r="I31" s="23">
        <f>0.77+1.97</f>
        <v>2.74</v>
      </c>
      <c r="J31" s="23">
        <v>4</v>
      </c>
      <c r="K31" s="23">
        <v>0.01</v>
      </c>
      <c r="L31" s="23"/>
      <c r="M31" s="23"/>
      <c r="N31" s="23"/>
      <c r="O31" s="23"/>
      <c r="P31" s="23"/>
      <c r="Q31" s="23"/>
      <c r="R31" s="23"/>
      <c r="S31" s="23"/>
      <c r="T31" s="23">
        <v>16</v>
      </c>
      <c r="U31" s="23">
        <v>0.15</v>
      </c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>
        <v>2</v>
      </c>
      <c r="AX31" s="23"/>
      <c r="AY31" s="23"/>
    </row>
    <row r="32" spans="1:51" x14ac:dyDescent="0.2">
      <c r="A32" s="23" t="s">
        <v>498</v>
      </c>
      <c r="B32" s="23" t="s">
        <v>490</v>
      </c>
      <c r="C32" s="23" t="s">
        <v>173</v>
      </c>
      <c r="D32" s="23" t="s">
        <v>297</v>
      </c>
      <c r="E32" s="23">
        <f>13.59+1.91</f>
        <v>15.5</v>
      </c>
      <c r="F32" s="23">
        <f>4.73+1.19</f>
        <v>5.92</v>
      </c>
      <c r="G32" s="23">
        <f>4.44+0.26</f>
        <v>4.7</v>
      </c>
      <c r="H32" s="23">
        <f>2.42</f>
        <v>2.42</v>
      </c>
      <c r="I32" s="23">
        <f>1.85+0.45</f>
        <v>2.3000000000000003</v>
      </c>
      <c r="J32" s="23"/>
      <c r="K32" s="23"/>
      <c r="L32" s="23">
        <v>2</v>
      </c>
      <c r="M32" s="23" t="s">
        <v>21</v>
      </c>
      <c r="N32" s="23"/>
      <c r="O32" s="23"/>
      <c r="P32" s="23"/>
      <c r="Q32" s="23"/>
      <c r="R32" s="23"/>
      <c r="S32" s="23"/>
      <c r="T32" s="23">
        <v>8</v>
      </c>
      <c r="U32" s="23">
        <v>0.13</v>
      </c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>
        <v>1</v>
      </c>
      <c r="AQ32" s="23"/>
      <c r="AR32" s="23"/>
      <c r="AS32" s="23"/>
      <c r="AT32" s="23"/>
      <c r="AU32" s="23"/>
      <c r="AV32" s="23"/>
      <c r="AW32" s="23">
        <v>3</v>
      </c>
      <c r="AX32" s="23"/>
      <c r="AY32" s="23"/>
    </row>
    <row r="33" spans="1:51" x14ac:dyDescent="0.2">
      <c r="A33" s="23" t="s">
        <v>499</v>
      </c>
      <c r="B33" s="23" t="s">
        <v>490</v>
      </c>
      <c r="C33" s="23" t="s">
        <v>136</v>
      </c>
      <c r="D33" s="23" t="s">
        <v>297</v>
      </c>
      <c r="E33" s="23">
        <f>25.43+1.98+0.83</f>
        <v>28.24</v>
      </c>
      <c r="F33" s="23">
        <f>3.65+1.6</f>
        <v>5.25</v>
      </c>
      <c r="G33" s="23">
        <f>6.73+0.32</f>
        <v>7.0500000000000007</v>
      </c>
      <c r="H33" s="23">
        <f>14.09+0.83</f>
        <v>14.92</v>
      </c>
      <c r="I33" s="23">
        <f>0.87+0.05</f>
        <v>0.92</v>
      </c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>
        <v>9</v>
      </c>
      <c r="U33" s="23">
        <v>0.08</v>
      </c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>
        <v>1</v>
      </c>
      <c r="AK33" s="23"/>
      <c r="AL33" s="23"/>
      <c r="AM33" s="23"/>
      <c r="AN33" s="23"/>
      <c r="AO33" s="23"/>
      <c r="AP33" s="23"/>
      <c r="AQ33" s="23"/>
      <c r="AR33" s="23"/>
      <c r="AS33" s="23"/>
      <c r="AT33" s="23">
        <v>1</v>
      </c>
      <c r="AU33" s="23"/>
      <c r="AV33" s="23"/>
      <c r="AW33" s="23"/>
      <c r="AX33" s="23"/>
      <c r="AY33" s="23"/>
    </row>
    <row r="34" spans="1:51" x14ac:dyDescent="0.2">
      <c r="A34" s="23" t="s">
        <v>500</v>
      </c>
      <c r="B34" s="23" t="s">
        <v>490</v>
      </c>
      <c r="C34" s="23" t="s">
        <v>501</v>
      </c>
      <c r="D34" s="23" t="s">
        <v>297</v>
      </c>
      <c r="E34" s="23">
        <v>4.0999999999999996</v>
      </c>
      <c r="F34" s="23">
        <v>0.56999999999999995</v>
      </c>
      <c r="G34" s="23">
        <v>0.86</v>
      </c>
      <c r="H34" s="23">
        <v>2.46</v>
      </c>
      <c r="I34" s="23">
        <v>0.13</v>
      </c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>
        <v>5</v>
      </c>
      <c r="U34" s="23">
        <v>0.04</v>
      </c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>
        <v>1</v>
      </c>
      <c r="AO34" s="23"/>
      <c r="AP34" s="23"/>
      <c r="AQ34" s="23"/>
      <c r="AR34" s="23"/>
      <c r="AS34" s="23"/>
      <c r="AT34" s="23"/>
      <c r="AU34" s="23"/>
      <c r="AV34" s="23"/>
      <c r="AW34" s="23">
        <v>2</v>
      </c>
      <c r="AX34" s="23"/>
      <c r="AY34" s="23"/>
    </row>
    <row r="35" spans="1:51" x14ac:dyDescent="0.2">
      <c r="A35" s="23" t="s">
        <v>502</v>
      </c>
      <c r="B35" s="23" t="s">
        <v>490</v>
      </c>
      <c r="C35" s="23" t="s">
        <v>503</v>
      </c>
      <c r="D35" s="23" t="s">
        <v>297</v>
      </c>
      <c r="E35" s="23">
        <v>0.04</v>
      </c>
      <c r="F35" s="23">
        <v>0.04</v>
      </c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</row>
    <row r="36" spans="1:51" x14ac:dyDescent="0.2">
      <c r="A36" s="23" t="s">
        <v>507</v>
      </c>
      <c r="B36" s="23" t="s">
        <v>508</v>
      </c>
      <c r="C36" s="23" t="s">
        <v>35</v>
      </c>
      <c r="D36" s="23" t="s">
        <v>297</v>
      </c>
      <c r="E36" s="23">
        <v>0.79</v>
      </c>
      <c r="F36" s="23">
        <v>0.25</v>
      </c>
      <c r="G36" s="23">
        <v>0.51</v>
      </c>
      <c r="H36" s="23">
        <v>0.03</v>
      </c>
      <c r="I36" s="23">
        <v>0</v>
      </c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</row>
    <row r="37" spans="1:51" x14ac:dyDescent="0.2">
      <c r="A37" s="23" t="s">
        <v>539</v>
      </c>
      <c r="B37" s="23" t="s">
        <v>540</v>
      </c>
      <c r="C37" s="23" t="s">
        <v>38</v>
      </c>
      <c r="D37" s="23" t="s">
        <v>298</v>
      </c>
      <c r="E37" s="23">
        <v>0.31</v>
      </c>
      <c r="F37" s="23">
        <v>0.16</v>
      </c>
      <c r="G37" s="23">
        <v>0.13</v>
      </c>
      <c r="H37" s="23">
        <v>0.01</v>
      </c>
      <c r="I37" s="23">
        <v>0.01</v>
      </c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>
        <v>1</v>
      </c>
      <c r="U37" s="23" t="s">
        <v>21</v>
      </c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>
        <v>1</v>
      </c>
      <c r="AX37" s="23"/>
      <c r="AY37" s="23"/>
    </row>
    <row r="38" spans="1:51" x14ac:dyDescent="0.2">
      <c r="A38" s="23" t="s">
        <v>551</v>
      </c>
      <c r="B38" s="23" t="s">
        <v>549</v>
      </c>
      <c r="C38" s="23" t="s">
        <v>35</v>
      </c>
      <c r="D38" s="23" t="s">
        <v>298</v>
      </c>
      <c r="E38" s="23">
        <v>0.15</v>
      </c>
      <c r="F38" s="23">
        <v>0.02</v>
      </c>
      <c r="G38" s="23">
        <v>0.06</v>
      </c>
      <c r="H38" s="23">
        <v>7.0000000000000007E-2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</row>
    <row r="39" spans="1:51" x14ac:dyDescent="0.2">
      <c r="A39" s="23" t="s">
        <v>578</v>
      </c>
      <c r="B39" s="23" t="s">
        <v>579</v>
      </c>
      <c r="C39" s="23" t="s">
        <v>580</v>
      </c>
      <c r="D39" s="23" t="s">
        <v>297</v>
      </c>
      <c r="E39" s="23">
        <f>6.16+4.64</f>
        <v>10.8</v>
      </c>
      <c r="F39" s="23"/>
      <c r="G39" s="23"/>
      <c r="H39" s="23">
        <f>1.66+0.88+2.1</f>
        <v>4.6400000000000006</v>
      </c>
      <c r="I39" s="23">
        <f>6.16</f>
        <v>6.16</v>
      </c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</row>
    <row r="40" spans="1:51" x14ac:dyDescent="0.2">
      <c r="A40" s="23" t="s">
        <v>624</v>
      </c>
      <c r="B40" s="23" t="s">
        <v>625</v>
      </c>
      <c r="C40" s="23" t="s">
        <v>29</v>
      </c>
      <c r="D40" s="23" t="s">
        <v>297</v>
      </c>
      <c r="E40" s="23">
        <f>3.13+33.61</f>
        <v>36.74</v>
      </c>
      <c r="F40" s="23">
        <f>1.16+2.22</f>
        <v>3.38</v>
      </c>
      <c r="G40" s="23">
        <f>1.19+6.45</f>
        <v>7.6400000000000006</v>
      </c>
      <c r="H40" s="23">
        <v>21.51</v>
      </c>
      <c r="I40" s="23">
        <f>0.63+3.1</f>
        <v>3.73</v>
      </c>
      <c r="L40" s="23">
        <v>7</v>
      </c>
      <c r="M40" s="23">
        <v>0.01</v>
      </c>
      <c r="O40" s="23">
        <v>2</v>
      </c>
      <c r="P40" s="23" t="s">
        <v>21</v>
      </c>
      <c r="Q40" s="23"/>
      <c r="R40" s="23">
        <v>1</v>
      </c>
      <c r="S40" s="23">
        <v>0.12</v>
      </c>
      <c r="T40" s="23">
        <v>9</v>
      </c>
      <c r="U40" s="23">
        <v>0.06</v>
      </c>
      <c r="V40" s="23">
        <v>1</v>
      </c>
      <c r="W40" s="23">
        <v>7.0000000000000007E-2</v>
      </c>
      <c r="X40" s="23">
        <v>3</v>
      </c>
      <c r="Y40" s="23">
        <v>0.01</v>
      </c>
      <c r="AD40" s="23">
        <v>1</v>
      </c>
      <c r="AE40" s="23"/>
      <c r="AF40" s="23"/>
      <c r="AG40" s="23"/>
      <c r="AI40" s="23">
        <v>1</v>
      </c>
      <c r="AJ40" s="23">
        <v>1</v>
      </c>
      <c r="AL40" s="23"/>
      <c r="AM40" s="23">
        <v>1</v>
      </c>
      <c r="AP40" s="23"/>
      <c r="AR40" s="23"/>
      <c r="AS40" s="23">
        <v>4</v>
      </c>
      <c r="AT40" s="23"/>
      <c r="AW40" s="23">
        <v>18</v>
      </c>
    </row>
    <row r="41" spans="1:51" x14ac:dyDescent="0.2">
      <c r="A41" s="23" t="s">
        <v>626</v>
      </c>
      <c r="B41" s="23" t="s">
        <v>625</v>
      </c>
      <c r="C41" s="23" t="s">
        <v>32</v>
      </c>
      <c r="D41" s="23" t="s">
        <v>297</v>
      </c>
      <c r="E41" s="23">
        <f>4.75+0.66</f>
        <v>5.41</v>
      </c>
      <c r="F41" s="23">
        <v>1.3</v>
      </c>
      <c r="G41" s="23">
        <f>1.76+0.29</f>
        <v>2.0499999999999998</v>
      </c>
      <c r="H41" s="23">
        <v>1.1499999999999999</v>
      </c>
      <c r="I41" s="23">
        <v>0.86</v>
      </c>
      <c r="J41" s="23"/>
      <c r="K41" s="23"/>
      <c r="N41" s="23"/>
      <c r="O41" s="23">
        <v>1</v>
      </c>
      <c r="P41" s="23" t="s">
        <v>21</v>
      </c>
      <c r="Q41" s="23"/>
      <c r="R41" s="23"/>
      <c r="S41" s="23"/>
      <c r="T41" s="23">
        <v>5</v>
      </c>
      <c r="U41" s="23">
        <v>0.05</v>
      </c>
      <c r="V41" s="23"/>
      <c r="W41" s="23"/>
      <c r="X41" s="23"/>
      <c r="Y41" s="23"/>
      <c r="AD41" s="23">
        <v>1</v>
      </c>
      <c r="AE41" s="23"/>
      <c r="AF41" s="23">
        <v>1</v>
      </c>
      <c r="AG41" s="23"/>
      <c r="AJ41" s="23"/>
      <c r="AK41" s="23">
        <v>3</v>
      </c>
      <c r="AM41" s="23"/>
      <c r="AN41" s="23"/>
      <c r="AO41" s="23">
        <v>1</v>
      </c>
      <c r="AP41" s="23">
        <v>1</v>
      </c>
      <c r="AQ41" s="23"/>
      <c r="AT41" s="23"/>
      <c r="AW41" s="23">
        <v>8</v>
      </c>
    </row>
    <row r="42" spans="1:51" x14ac:dyDescent="0.2">
      <c r="A42" t="s">
        <v>266</v>
      </c>
      <c r="B42" t="s">
        <v>261</v>
      </c>
      <c r="C42" t="s">
        <v>267</v>
      </c>
      <c r="D42" t="s">
        <v>298</v>
      </c>
      <c r="E42">
        <f>0.1+0.79+0.63</f>
        <v>1.52</v>
      </c>
      <c r="F42">
        <v>0.15</v>
      </c>
      <c r="G42">
        <v>0.49</v>
      </c>
      <c r="H42">
        <v>0.09</v>
      </c>
      <c r="I42">
        <v>0.8</v>
      </c>
      <c r="T42">
        <v>4</v>
      </c>
      <c r="U42">
        <v>0.02</v>
      </c>
    </row>
  </sheetData>
  <mergeCells count="9">
    <mergeCell ref="AK3:AO3"/>
    <mergeCell ref="AP3:AT3"/>
    <mergeCell ref="AU3:AY3"/>
    <mergeCell ref="A2:C2"/>
    <mergeCell ref="D2:I2"/>
    <mergeCell ref="J2:AV2"/>
    <mergeCell ref="T3:AC3"/>
    <mergeCell ref="K3:S3"/>
    <mergeCell ref="AD3:AI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3F68C-D290-474F-B3D4-D32400CC3E3E}">
  <dimension ref="A1:BB40"/>
  <sheetViews>
    <sheetView workbookViewId="0">
      <pane xSplit="3" ySplit="4" topLeftCell="AB5" activePane="bottomRight" state="frozen"/>
      <selection pane="topRight" activeCell="D1" sqref="D1"/>
      <selection pane="bottomLeft" activeCell="A3" sqref="A3"/>
      <selection pane="bottomRight" sqref="A1:XFD1"/>
    </sheetView>
  </sheetViews>
  <sheetFormatPr baseColWidth="10" defaultRowHeight="16" x14ac:dyDescent="0.2"/>
  <cols>
    <col min="1" max="1" width="16" style="23" customWidth="1"/>
    <col min="2" max="2" width="16.1640625" style="23" customWidth="1"/>
    <col min="3" max="3" width="15.1640625" style="23" customWidth="1"/>
    <col min="4" max="4" width="14.33203125" style="23" customWidth="1"/>
    <col min="5" max="5" width="16.1640625" style="23" customWidth="1"/>
    <col min="6" max="6" width="15.33203125" style="23" customWidth="1"/>
    <col min="7" max="7" width="10.83203125" style="23"/>
    <col min="8" max="8" width="19" style="23" customWidth="1"/>
    <col min="9" max="9" width="15.33203125" style="23" customWidth="1"/>
    <col min="10" max="16" width="12.1640625" style="23" customWidth="1"/>
    <col min="17" max="16384" width="10.83203125" style="23"/>
  </cols>
  <sheetData>
    <row r="1" spans="1:54" s="37" customFormat="1" ht="19" x14ac:dyDescent="0.25">
      <c r="A1" s="36" t="s">
        <v>629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</row>
    <row r="2" spans="1:54" s="17" customFormat="1" x14ac:dyDescent="0.2">
      <c r="A2" s="15" t="s">
        <v>0</v>
      </c>
      <c r="B2" s="15"/>
      <c r="C2" s="15"/>
      <c r="D2" s="15" t="s">
        <v>10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</row>
    <row r="3" spans="1:54" s="17" customFormat="1" x14ac:dyDescent="0.2">
      <c r="A3" s="16"/>
      <c r="B3" s="16"/>
      <c r="C3" s="16"/>
      <c r="D3" s="16"/>
      <c r="E3" s="15" t="s">
        <v>589</v>
      </c>
      <c r="F3" s="15"/>
      <c r="G3" s="15"/>
      <c r="H3" s="15"/>
      <c r="I3" s="15"/>
      <c r="J3" s="15" t="s">
        <v>595</v>
      </c>
      <c r="K3" s="15"/>
      <c r="L3" s="15"/>
      <c r="M3" s="15"/>
      <c r="N3" s="15"/>
      <c r="O3" s="15"/>
      <c r="P3" s="15" t="s">
        <v>591</v>
      </c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8" t="s">
        <v>599</v>
      </c>
      <c r="AE3" s="19"/>
      <c r="AF3" s="19"/>
      <c r="AG3" s="19"/>
      <c r="AH3" s="19"/>
      <c r="AI3" s="19"/>
      <c r="AJ3" s="20"/>
      <c r="AK3" s="18" t="s">
        <v>592</v>
      </c>
      <c r="AL3" s="19"/>
      <c r="AM3" s="19"/>
      <c r="AN3" s="19"/>
      <c r="AO3" s="18" t="s">
        <v>598</v>
      </c>
      <c r="AP3" s="19"/>
      <c r="AQ3" s="19"/>
      <c r="AR3" s="19"/>
      <c r="AS3" s="19"/>
      <c r="AT3" s="19"/>
      <c r="AU3" s="20"/>
      <c r="AV3" s="21"/>
      <c r="AW3" s="21"/>
      <c r="AX3" s="21"/>
      <c r="AY3" s="21"/>
      <c r="AZ3" s="18" t="s">
        <v>594</v>
      </c>
      <c r="BA3" s="19"/>
      <c r="BB3" s="20"/>
    </row>
    <row r="4" spans="1:54" s="22" customFormat="1" x14ac:dyDescent="0.2">
      <c r="A4" s="17" t="s">
        <v>1</v>
      </c>
      <c r="B4" s="17" t="s">
        <v>2</v>
      </c>
      <c r="C4" s="17" t="s">
        <v>3</v>
      </c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632</v>
      </c>
      <c r="K4" s="17" t="s">
        <v>633</v>
      </c>
      <c r="L4" s="17" t="s">
        <v>695</v>
      </c>
      <c r="M4" s="17" t="s">
        <v>639</v>
      </c>
      <c r="N4" s="17" t="s">
        <v>640</v>
      </c>
      <c r="O4" s="17" t="s">
        <v>641</v>
      </c>
      <c r="P4" s="17" t="s">
        <v>644</v>
      </c>
      <c r="Q4" s="17" t="s">
        <v>645</v>
      </c>
      <c r="R4" s="17" t="s">
        <v>646</v>
      </c>
      <c r="S4" s="17" t="s">
        <v>647</v>
      </c>
      <c r="T4" s="17" t="s">
        <v>148</v>
      </c>
      <c r="U4" s="17" t="s">
        <v>149</v>
      </c>
      <c r="V4" s="17" t="s">
        <v>652</v>
      </c>
      <c r="W4" s="17" t="s">
        <v>653</v>
      </c>
      <c r="X4" s="17" t="s">
        <v>696</v>
      </c>
      <c r="Y4" s="17" t="s">
        <v>697</v>
      </c>
      <c r="Z4" s="17" t="s">
        <v>617</v>
      </c>
      <c r="AA4" s="17" t="s">
        <v>681</v>
      </c>
      <c r="AB4" s="17" t="s">
        <v>19</v>
      </c>
      <c r="AC4" s="17" t="s">
        <v>20</v>
      </c>
      <c r="AD4" s="17" t="s">
        <v>698</v>
      </c>
      <c r="AE4" s="17" t="s">
        <v>664</v>
      </c>
      <c r="AF4" s="17" t="s">
        <v>659</v>
      </c>
      <c r="AG4" s="17" t="s">
        <v>47</v>
      </c>
      <c r="AH4" s="17" t="s">
        <v>609</v>
      </c>
      <c r="AI4" s="17" t="s">
        <v>683</v>
      </c>
      <c r="AJ4" s="17" t="s">
        <v>699</v>
      </c>
      <c r="AK4" s="17" t="s">
        <v>654</v>
      </c>
      <c r="AL4" s="17" t="s">
        <v>655</v>
      </c>
      <c r="AM4" s="17" t="s">
        <v>686</v>
      </c>
      <c r="AN4" s="17" t="s">
        <v>656</v>
      </c>
      <c r="AO4" s="17" t="s">
        <v>667</v>
      </c>
      <c r="AP4" s="17" t="s">
        <v>665</v>
      </c>
      <c r="AQ4" s="17" t="s">
        <v>666</v>
      </c>
      <c r="AR4" s="17" t="s">
        <v>648</v>
      </c>
      <c r="AS4" s="17" t="s">
        <v>411</v>
      </c>
      <c r="AT4" s="17" t="s">
        <v>700</v>
      </c>
      <c r="AU4" s="17" t="s">
        <v>25</v>
      </c>
      <c r="AV4" s="17" t="s">
        <v>607</v>
      </c>
      <c r="AW4" s="17" t="s">
        <v>608</v>
      </c>
      <c r="AX4" s="17" t="s">
        <v>610</v>
      </c>
      <c r="AY4" s="17" t="s">
        <v>612</v>
      </c>
      <c r="AZ4" s="17" t="s">
        <v>48</v>
      </c>
      <c r="BA4" s="17" t="s">
        <v>49</v>
      </c>
      <c r="BB4" s="17" t="s">
        <v>90</v>
      </c>
    </row>
    <row r="5" spans="1:54" x14ac:dyDescent="0.2">
      <c r="A5" s="23" t="s">
        <v>43</v>
      </c>
      <c r="B5" s="23" t="s">
        <v>34</v>
      </c>
      <c r="C5" s="23" t="s">
        <v>44</v>
      </c>
      <c r="D5" s="23" t="s">
        <v>298</v>
      </c>
      <c r="E5" s="23">
        <v>0.74</v>
      </c>
      <c r="F5" s="23">
        <v>0.16</v>
      </c>
      <c r="G5" s="23">
        <v>0.47</v>
      </c>
      <c r="H5" s="23">
        <v>0.09</v>
      </c>
      <c r="I5" s="23" t="s">
        <v>21</v>
      </c>
      <c r="Z5" s="23">
        <v>5</v>
      </c>
      <c r="AA5" s="23" t="s">
        <v>21</v>
      </c>
      <c r="AB5" s="23">
        <v>11</v>
      </c>
      <c r="AC5" s="23">
        <v>0.01</v>
      </c>
    </row>
    <row r="6" spans="1:54" x14ac:dyDescent="0.2">
      <c r="A6" s="23" t="s">
        <v>45</v>
      </c>
      <c r="B6" s="23" t="s">
        <v>34</v>
      </c>
      <c r="C6" s="23" t="s">
        <v>46</v>
      </c>
      <c r="D6" s="23" t="s">
        <v>298</v>
      </c>
      <c r="E6" s="23">
        <v>2.19</v>
      </c>
      <c r="F6" s="23">
        <v>0.31</v>
      </c>
      <c r="G6" s="23">
        <v>1.1200000000000001</v>
      </c>
      <c r="H6" s="23">
        <v>0.41</v>
      </c>
      <c r="I6" s="23">
        <v>0.2</v>
      </c>
      <c r="Z6" s="23">
        <v>6</v>
      </c>
      <c r="AA6" s="23">
        <v>0.04</v>
      </c>
      <c r="AB6" s="23">
        <v>1</v>
      </c>
      <c r="AC6" s="23" t="s">
        <v>21</v>
      </c>
      <c r="AG6" s="23">
        <v>1</v>
      </c>
      <c r="AZ6" s="23">
        <v>1</v>
      </c>
      <c r="BA6" s="23">
        <v>2</v>
      </c>
    </row>
    <row r="7" spans="1:54" x14ac:dyDescent="0.2">
      <c r="A7" s="25" t="s">
        <v>147</v>
      </c>
      <c r="B7" s="23" t="s">
        <v>146</v>
      </c>
      <c r="C7" s="23" t="s">
        <v>46</v>
      </c>
      <c r="D7" s="23" t="s">
        <v>298</v>
      </c>
      <c r="E7" s="23">
        <f>0.16+0.38+8.38</f>
        <v>8.9200000000000017</v>
      </c>
      <c r="F7" s="23">
        <f>0.8</f>
        <v>0.8</v>
      </c>
      <c r="G7" s="23">
        <v>0.83</v>
      </c>
      <c r="H7" s="23">
        <f>6.62+0.38</f>
        <v>7</v>
      </c>
      <c r="I7" s="23">
        <f>0.1+0.01+0.08</f>
        <v>0.19</v>
      </c>
      <c r="J7" s="23">
        <v>1</v>
      </c>
      <c r="K7" s="23" t="s">
        <v>21</v>
      </c>
      <c r="L7" s="23">
        <v>1</v>
      </c>
      <c r="M7" s="23" t="s">
        <v>21</v>
      </c>
      <c r="R7" s="23">
        <v>6</v>
      </c>
      <c r="S7" s="23">
        <v>0.05</v>
      </c>
      <c r="T7" s="23">
        <v>3</v>
      </c>
      <c r="U7" s="23">
        <v>0.01</v>
      </c>
      <c r="AJ7" s="23">
        <v>1</v>
      </c>
      <c r="AZ7" s="23">
        <v>1</v>
      </c>
      <c r="BB7" s="23">
        <v>7</v>
      </c>
    </row>
    <row r="8" spans="1:54" x14ac:dyDescent="0.2">
      <c r="A8" s="23">
        <v>132243</v>
      </c>
      <c r="B8" s="23" t="s">
        <v>146</v>
      </c>
      <c r="C8" s="23" t="s">
        <v>44</v>
      </c>
      <c r="D8" s="23" t="s">
        <v>298</v>
      </c>
      <c r="E8" s="23">
        <v>0.17</v>
      </c>
      <c r="I8" s="23">
        <v>0.17</v>
      </c>
    </row>
    <row r="9" spans="1:54" x14ac:dyDescent="0.2">
      <c r="A9" s="23" t="s">
        <v>153</v>
      </c>
      <c r="B9" s="23" t="s">
        <v>151</v>
      </c>
      <c r="C9" s="23" t="s">
        <v>44</v>
      </c>
      <c r="D9" s="23" t="s">
        <v>298</v>
      </c>
      <c r="E9" s="23">
        <f>2.78+0.18</f>
        <v>2.96</v>
      </c>
      <c r="F9" s="23">
        <v>1.1100000000000001</v>
      </c>
      <c r="G9" s="23">
        <v>1.1599999999999999</v>
      </c>
      <c r="H9" s="23">
        <v>0.54</v>
      </c>
      <c r="I9" s="23">
        <v>0.1</v>
      </c>
      <c r="AF9" s="23">
        <v>1</v>
      </c>
      <c r="BB9" s="23">
        <v>111</v>
      </c>
    </row>
    <row r="10" spans="1:54" x14ac:dyDescent="0.2">
      <c r="A10" s="23" t="s">
        <v>246</v>
      </c>
      <c r="B10" s="23" t="s">
        <v>245</v>
      </c>
      <c r="C10" s="23" t="s">
        <v>247</v>
      </c>
      <c r="D10" s="23" t="s">
        <v>298</v>
      </c>
      <c r="E10" s="23">
        <v>0.18</v>
      </c>
      <c r="F10" s="23">
        <v>0.03</v>
      </c>
      <c r="G10" s="23">
        <v>0.01</v>
      </c>
      <c r="H10" s="23">
        <v>0</v>
      </c>
      <c r="I10" s="23">
        <v>0.02</v>
      </c>
      <c r="P10" s="23">
        <v>8</v>
      </c>
      <c r="Q10" s="23">
        <v>0.03</v>
      </c>
      <c r="V10" s="23">
        <v>1</v>
      </c>
      <c r="W10" s="23" t="s">
        <v>21</v>
      </c>
    </row>
    <row r="11" spans="1:54" x14ac:dyDescent="0.2">
      <c r="A11" s="23" t="s">
        <v>248</v>
      </c>
      <c r="B11" s="23" t="s">
        <v>245</v>
      </c>
      <c r="C11" s="23" t="s">
        <v>249</v>
      </c>
      <c r="D11" s="23" t="s">
        <v>298</v>
      </c>
      <c r="E11" s="23">
        <v>0.75</v>
      </c>
      <c r="F11" s="23">
        <v>0.06</v>
      </c>
      <c r="G11" s="23">
        <v>0.45</v>
      </c>
      <c r="H11" s="23">
        <v>0.05</v>
      </c>
      <c r="I11" s="23">
        <v>0.17</v>
      </c>
      <c r="J11" s="23">
        <v>1</v>
      </c>
      <c r="K11" s="23" t="s">
        <v>21</v>
      </c>
    </row>
    <row r="12" spans="1:54" x14ac:dyDescent="0.2">
      <c r="A12" s="23" t="s">
        <v>250</v>
      </c>
      <c r="B12" s="23" t="s">
        <v>245</v>
      </c>
      <c r="C12" s="23" t="s">
        <v>251</v>
      </c>
      <c r="D12" s="23" t="s">
        <v>298</v>
      </c>
      <c r="E12" s="23">
        <v>0.28999999999999998</v>
      </c>
      <c r="F12" s="23">
        <v>0.14000000000000001</v>
      </c>
      <c r="G12" s="23">
        <v>0.08</v>
      </c>
      <c r="H12" s="23">
        <v>0</v>
      </c>
      <c r="I12" s="23">
        <v>7.0000000000000007E-2</v>
      </c>
      <c r="AZ12" s="23">
        <v>2</v>
      </c>
    </row>
    <row r="13" spans="1:54" x14ac:dyDescent="0.2">
      <c r="A13" s="23" t="s">
        <v>262</v>
      </c>
      <c r="B13" s="23" t="s">
        <v>261</v>
      </c>
      <c r="C13" s="23" t="s">
        <v>263</v>
      </c>
      <c r="D13" s="23" t="s">
        <v>298</v>
      </c>
      <c r="E13" s="23">
        <f>0.41+3.54</f>
        <v>3.95</v>
      </c>
      <c r="F13" s="23">
        <v>0.14000000000000001</v>
      </c>
      <c r="G13" s="23">
        <f>2.92+0.26+0.01</f>
        <v>3.1899999999999995</v>
      </c>
      <c r="I13" s="23">
        <v>0.62</v>
      </c>
    </row>
    <row r="14" spans="1:54" x14ac:dyDescent="0.2">
      <c r="A14" s="23">
        <v>133622</v>
      </c>
      <c r="B14" s="23" t="s">
        <v>261</v>
      </c>
      <c r="C14" s="23" t="s">
        <v>264</v>
      </c>
      <c r="D14" s="23" t="s">
        <v>298</v>
      </c>
      <c r="X14" s="23">
        <v>1</v>
      </c>
      <c r="Y14" s="23">
        <v>0.42</v>
      </c>
    </row>
    <row r="15" spans="1:54" x14ac:dyDescent="0.2">
      <c r="A15" s="23">
        <v>133623</v>
      </c>
      <c r="B15" s="23" t="s">
        <v>261</v>
      </c>
      <c r="C15" s="23" t="s">
        <v>265</v>
      </c>
      <c r="D15" s="23" t="s">
        <v>298</v>
      </c>
      <c r="I15" s="23">
        <v>0.45</v>
      </c>
    </row>
    <row r="16" spans="1:54" x14ac:dyDescent="0.2">
      <c r="A16" s="23" t="s">
        <v>272</v>
      </c>
      <c r="B16" s="23" t="s">
        <v>261</v>
      </c>
      <c r="C16" s="23" t="s">
        <v>257</v>
      </c>
      <c r="D16" s="23" t="s">
        <v>299</v>
      </c>
      <c r="E16" s="23">
        <f>0.04+0.29+0.39</f>
        <v>0.72</v>
      </c>
      <c r="F16" s="23">
        <v>7.0000000000000007E-2</v>
      </c>
      <c r="G16" s="23">
        <v>0.56000000000000005</v>
      </c>
      <c r="I16" s="23">
        <v>0.08</v>
      </c>
    </row>
    <row r="17" spans="1:54" x14ac:dyDescent="0.2">
      <c r="A17" s="23">
        <v>135236</v>
      </c>
      <c r="B17" s="23" t="s">
        <v>506</v>
      </c>
      <c r="C17" s="23" t="s">
        <v>426</v>
      </c>
      <c r="D17" s="23" t="s">
        <v>298</v>
      </c>
      <c r="H17" s="23">
        <v>1.79</v>
      </c>
    </row>
    <row r="18" spans="1:54" x14ac:dyDescent="0.2">
      <c r="A18" s="23">
        <v>135612</v>
      </c>
      <c r="B18" s="23" t="s">
        <v>582</v>
      </c>
      <c r="C18" s="23" t="s">
        <v>580</v>
      </c>
      <c r="D18" s="23" t="s">
        <v>297</v>
      </c>
      <c r="E18" s="23">
        <v>0.21</v>
      </c>
      <c r="F18" s="23">
        <v>0.03</v>
      </c>
      <c r="G18" s="23">
        <v>0.06</v>
      </c>
      <c r="I18" s="23">
        <v>0.12</v>
      </c>
    </row>
    <row r="19" spans="1:54" x14ac:dyDescent="0.2">
      <c r="A19" s="23">
        <v>135601</v>
      </c>
      <c r="B19" s="23" t="s">
        <v>582</v>
      </c>
      <c r="C19" s="23" t="s">
        <v>583</v>
      </c>
      <c r="E19" s="23">
        <f>5.04</f>
        <v>5.04</v>
      </c>
      <c r="F19" s="23">
        <v>0.64</v>
      </c>
      <c r="G19" s="23">
        <v>0.59</v>
      </c>
      <c r="I19" s="23">
        <v>3.41</v>
      </c>
      <c r="P19" s="23">
        <v>13</v>
      </c>
      <c r="Q19" s="23">
        <v>0.38</v>
      </c>
      <c r="AT19" s="23">
        <v>1</v>
      </c>
    </row>
    <row r="20" spans="1:54" x14ac:dyDescent="0.2">
      <c r="A20" s="23" t="s">
        <v>584</v>
      </c>
      <c r="B20" s="23" t="s">
        <v>582</v>
      </c>
      <c r="C20" s="23" t="s">
        <v>585</v>
      </c>
      <c r="D20" s="23" t="s">
        <v>297</v>
      </c>
      <c r="E20" s="23">
        <f>61.83+11.83+0.27</f>
        <v>73.929999999999993</v>
      </c>
      <c r="F20" s="23">
        <v>0.06</v>
      </c>
      <c r="G20" s="23">
        <v>16.41</v>
      </c>
      <c r="H20" s="23">
        <v>38.39</v>
      </c>
      <c r="I20" s="23">
        <f>6.92+11.83</f>
        <v>18.75</v>
      </c>
      <c r="N20" s="23">
        <v>1</v>
      </c>
      <c r="O20" s="23" t="s">
        <v>21</v>
      </c>
      <c r="P20" s="23">
        <v>3</v>
      </c>
      <c r="Q20" s="23">
        <v>0.02</v>
      </c>
      <c r="V20" s="23">
        <v>1</v>
      </c>
      <c r="W20" s="23">
        <v>0.27</v>
      </c>
      <c r="AI20" s="23">
        <v>1</v>
      </c>
      <c r="AZ20" s="23">
        <v>1</v>
      </c>
    </row>
    <row r="21" spans="1:54" x14ac:dyDescent="0.2">
      <c r="A21" s="23">
        <v>135613</v>
      </c>
      <c r="B21" s="23" t="s">
        <v>582</v>
      </c>
      <c r="C21" s="23" t="s">
        <v>580</v>
      </c>
      <c r="D21" s="23" t="s">
        <v>297</v>
      </c>
      <c r="E21" s="23">
        <v>62.45</v>
      </c>
      <c r="F21" s="23">
        <v>0.1</v>
      </c>
      <c r="G21" s="23">
        <v>10.23</v>
      </c>
      <c r="H21" s="23">
        <v>48.95</v>
      </c>
      <c r="I21" s="23">
        <v>2.97</v>
      </c>
      <c r="P21" s="23">
        <v>3</v>
      </c>
      <c r="Q21" s="23">
        <v>0.08</v>
      </c>
      <c r="BA21" s="23">
        <v>2</v>
      </c>
    </row>
    <row r="22" spans="1:54" x14ac:dyDescent="0.2">
      <c r="A22" s="23" t="s">
        <v>586</v>
      </c>
      <c r="B22" s="23" t="s">
        <v>582</v>
      </c>
      <c r="C22" s="23" t="s">
        <v>587</v>
      </c>
      <c r="E22" s="23">
        <f>0.49+100.13+117.84+184.5</f>
        <v>402.96</v>
      </c>
      <c r="F22" s="23">
        <f>0.49+0.07+0.18</f>
        <v>0.74</v>
      </c>
      <c r="G22" s="23">
        <f>7.82+3.2+9.98+0.14</f>
        <v>21.14</v>
      </c>
      <c r="H22" s="23">
        <f>80.04+112.63+168.97</f>
        <v>361.64</v>
      </c>
      <c r="I22" s="23">
        <f>11.72+1.73+4.94+0.26</f>
        <v>18.650000000000002</v>
      </c>
      <c r="P22" s="23">
        <v>8</v>
      </c>
      <c r="Q22" s="23">
        <v>0.12</v>
      </c>
      <c r="R22" s="23">
        <v>4</v>
      </c>
      <c r="S22" s="23">
        <v>0.22</v>
      </c>
    </row>
    <row r="23" spans="1:54" x14ac:dyDescent="0.2">
      <c r="A23" s="23" t="s">
        <v>588</v>
      </c>
      <c r="B23" s="23" t="s">
        <v>582</v>
      </c>
      <c r="C23" s="23" t="s">
        <v>585</v>
      </c>
      <c r="E23" s="23">
        <f>34.21+7.59+29.69</f>
        <v>71.489999999999995</v>
      </c>
      <c r="F23" s="23">
        <f>0.14+0.29</f>
        <v>0.43</v>
      </c>
      <c r="G23" s="23">
        <f>1.04+4.29+10.96</f>
        <v>16.29</v>
      </c>
      <c r="H23" s="23">
        <f>20.5</f>
        <v>20.5</v>
      </c>
      <c r="I23" s="23">
        <f>2.71+6.4+24.84</f>
        <v>33.950000000000003</v>
      </c>
    </row>
    <row r="24" spans="1:54" x14ac:dyDescent="0.2">
      <c r="A24" s="23">
        <v>978</v>
      </c>
      <c r="B24" s="23" t="s">
        <v>606</v>
      </c>
      <c r="C24" s="23" t="s">
        <v>16</v>
      </c>
      <c r="D24" s="23" t="s">
        <v>297</v>
      </c>
      <c r="E24" s="23">
        <v>74.319999999999993</v>
      </c>
      <c r="J24" s="23">
        <v>0</v>
      </c>
      <c r="K24" s="23">
        <v>0</v>
      </c>
      <c r="L24" s="23">
        <v>0</v>
      </c>
      <c r="R24" s="23">
        <v>31</v>
      </c>
      <c r="T24" s="23">
        <v>3</v>
      </c>
      <c r="AE24" s="23">
        <v>2</v>
      </c>
      <c r="AF24" s="23">
        <v>46</v>
      </c>
      <c r="AK24" s="23">
        <v>6</v>
      </c>
      <c r="AL24" s="23">
        <v>26</v>
      </c>
      <c r="AM24" s="23">
        <v>1</v>
      </c>
      <c r="AN24" s="23">
        <v>2</v>
      </c>
      <c r="AO24" s="23">
        <v>3</v>
      </c>
      <c r="AP24" s="23">
        <v>27</v>
      </c>
      <c r="AR24" s="23">
        <v>13</v>
      </c>
      <c r="AV24" s="23">
        <v>4</v>
      </c>
      <c r="AZ24" s="23">
        <v>9</v>
      </c>
      <c r="BB24" s="23">
        <v>20</v>
      </c>
    </row>
    <row r="25" spans="1:54" x14ac:dyDescent="0.2">
      <c r="A25" s="23">
        <v>1023</v>
      </c>
      <c r="B25" s="23" t="s">
        <v>606</v>
      </c>
      <c r="C25" s="23" t="s">
        <v>59</v>
      </c>
      <c r="D25" s="23" t="s">
        <v>297</v>
      </c>
      <c r="E25" s="23">
        <v>62.89</v>
      </c>
      <c r="L25" s="23">
        <v>1</v>
      </c>
      <c r="P25" s="23">
        <v>5</v>
      </c>
      <c r="R25" s="23">
        <v>31</v>
      </c>
      <c r="T25" s="23">
        <v>5</v>
      </c>
      <c r="V25" s="23">
        <v>1</v>
      </c>
      <c r="AD25" s="23">
        <v>10</v>
      </c>
      <c r="AF25" s="23">
        <v>64</v>
      </c>
      <c r="AH25" s="23">
        <v>15</v>
      </c>
      <c r="AK25" s="23">
        <v>9</v>
      </c>
      <c r="AL25" s="23">
        <v>40</v>
      </c>
      <c r="AN25" s="23">
        <v>1</v>
      </c>
      <c r="AP25" s="23">
        <v>88</v>
      </c>
      <c r="AR25" s="23">
        <v>71</v>
      </c>
      <c r="AT25" s="23">
        <v>6</v>
      </c>
      <c r="AV25" s="23">
        <v>22</v>
      </c>
      <c r="AZ25" s="23">
        <v>4</v>
      </c>
      <c r="BB25" s="23">
        <v>34</v>
      </c>
    </row>
    <row r="26" spans="1:54" x14ac:dyDescent="0.2">
      <c r="A26" s="23">
        <v>1038</v>
      </c>
      <c r="B26" s="23" t="s">
        <v>606</v>
      </c>
      <c r="C26" s="23" t="s">
        <v>66</v>
      </c>
      <c r="D26" s="23" t="s">
        <v>297</v>
      </c>
      <c r="E26" s="23">
        <v>55.07</v>
      </c>
      <c r="P26" s="23">
        <v>8</v>
      </c>
      <c r="R26" s="23">
        <v>127</v>
      </c>
      <c r="T26" s="23">
        <v>8</v>
      </c>
      <c r="AD26" s="23">
        <v>4</v>
      </c>
      <c r="AE26" s="23">
        <v>3</v>
      </c>
      <c r="AF26" s="23">
        <v>71</v>
      </c>
      <c r="AK26" s="23">
        <v>4</v>
      </c>
      <c r="AL26" s="23">
        <v>30</v>
      </c>
      <c r="AO26" s="23">
        <v>3</v>
      </c>
      <c r="AP26" s="23">
        <v>72</v>
      </c>
      <c r="AQ26" s="23">
        <v>1</v>
      </c>
      <c r="AR26" s="23">
        <v>34</v>
      </c>
      <c r="AS26" s="23">
        <v>1</v>
      </c>
      <c r="AT26" s="23">
        <v>6</v>
      </c>
      <c r="AV26" s="23">
        <v>13</v>
      </c>
      <c r="AW26" s="23">
        <v>6</v>
      </c>
      <c r="AZ26" s="23">
        <v>9</v>
      </c>
      <c r="BB26" s="23">
        <v>20</v>
      </c>
    </row>
    <row r="27" spans="1:54" x14ac:dyDescent="0.2">
      <c r="A27" s="23">
        <v>1049</v>
      </c>
      <c r="B27" s="23" t="s">
        <v>606</v>
      </c>
      <c r="C27" s="23" t="s">
        <v>66</v>
      </c>
      <c r="D27" s="23" t="s">
        <v>297</v>
      </c>
      <c r="E27" s="23">
        <v>36.85</v>
      </c>
      <c r="R27" s="23">
        <v>46</v>
      </c>
      <c r="V27" s="23">
        <v>1</v>
      </c>
      <c r="AD27" s="23">
        <v>4</v>
      </c>
      <c r="AF27" s="23">
        <v>50</v>
      </c>
      <c r="AH27" s="23">
        <v>2</v>
      </c>
      <c r="AK27" s="23">
        <v>9</v>
      </c>
      <c r="AL27" s="23">
        <v>16</v>
      </c>
      <c r="AP27" s="23">
        <v>28</v>
      </c>
      <c r="AR27" s="23">
        <v>3</v>
      </c>
      <c r="AT27" s="23">
        <v>3</v>
      </c>
      <c r="AV27" s="23">
        <v>8</v>
      </c>
      <c r="AW27" s="23">
        <v>2</v>
      </c>
      <c r="AZ27" s="23">
        <v>4</v>
      </c>
      <c r="BB27" s="23">
        <v>12</v>
      </c>
    </row>
    <row r="28" spans="1:54" x14ac:dyDescent="0.2">
      <c r="A28" s="23">
        <v>1075</v>
      </c>
      <c r="B28" s="23" t="s">
        <v>606</v>
      </c>
      <c r="C28" s="23" t="s">
        <v>69</v>
      </c>
      <c r="D28" s="23" t="s">
        <v>297</v>
      </c>
      <c r="E28" s="23">
        <v>20.22</v>
      </c>
      <c r="R28" s="23">
        <v>30</v>
      </c>
      <c r="AD28" s="23">
        <v>1</v>
      </c>
      <c r="AF28" s="23">
        <v>15</v>
      </c>
      <c r="AK28" s="23">
        <v>3</v>
      </c>
      <c r="AL28" s="23">
        <v>12</v>
      </c>
      <c r="AP28" s="23">
        <v>19</v>
      </c>
      <c r="AR28" s="23">
        <v>4</v>
      </c>
      <c r="AV28" s="23">
        <v>3</v>
      </c>
      <c r="AW28" s="23">
        <v>4</v>
      </c>
      <c r="AZ28" s="23">
        <v>2</v>
      </c>
      <c r="BB28" s="23">
        <v>4</v>
      </c>
    </row>
    <row r="29" spans="1:54" x14ac:dyDescent="0.2">
      <c r="A29" s="23">
        <v>1151</v>
      </c>
      <c r="B29" s="23" t="s">
        <v>611</v>
      </c>
      <c r="C29" s="23" t="s">
        <v>16</v>
      </c>
      <c r="D29" s="23" t="s">
        <v>297</v>
      </c>
      <c r="E29" s="23">
        <v>10.77</v>
      </c>
      <c r="R29" s="23">
        <v>23</v>
      </c>
      <c r="AF29" s="23">
        <v>10</v>
      </c>
      <c r="AK29" s="23">
        <v>4</v>
      </c>
      <c r="AL29" s="23">
        <v>1</v>
      </c>
      <c r="AM29" s="23">
        <v>1</v>
      </c>
      <c r="AN29" s="23">
        <v>1</v>
      </c>
      <c r="AP29" s="23">
        <v>18</v>
      </c>
      <c r="AV29" s="23">
        <v>2</v>
      </c>
      <c r="BB29" s="23">
        <v>1</v>
      </c>
    </row>
    <row r="30" spans="1:54" x14ac:dyDescent="0.2">
      <c r="A30" s="23">
        <v>1170</v>
      </c>
      <c r="B30" s="23" t="s">
        <v>611</v>
      </c>
      <c r="C30" s="23" t="s">
        <v>63</v>
      </c>
      <c r="D30" s="23" t="s">
        <v>297</v>
      </c>
      <c r="E30" s="23">
        <v>25.99</v>
      </c>
      <c r="R30" s="23">
        <v>29</v>
      </c>
      <c r="T30" s="23">
        <v>5</v>
      </c>
      <c r="AF30" s="23">
        <v>33</v>
      </c>
      <c r="AK30" s="23">
        <v>1</v>
      </c>
      <c r="AL30" s="23">
        <v>9</v>
      </c>
      <c r="AM30" s="23">
        <v>1</v>
      </c>
      <c r="AP30" s="23">
        <v>46</v>
      </c>
      <c r="AV30" s="23">
        <v>6</v>
      </c>
      <c r="AZ30" s="23">
        <v>1</v>
      </c>
      <c r="BB30" s="23">
        <v>6</v>
      </c>
    </row>
    <row r="31" spans="1:54" x14ac:dyDescent="0.2">
      <c r="A31" s="23">
        <v>1184</v>
      </c>
      <c r="B31" s="23" t="s">
        <v>611</v>
      </c>
      <c r="C31" s="23" t="s">
        <v>69</v>
      </c>
      <c r="D31" s="23" t="s">
        <v>297</v>
      </c>
      <c r="E31" s="23">
        <v>46.6</v>
      </c>
      <c r="R31" s="23">
        <v>11</v>
      </c>
      <c r="AF31" s="23">
        <v>24</v>
      </c>
      <c r="AK31" s="23">
        <v>3</v>
      </c>
      <c r="AL31" s="23">
        <v>17</v>
      </c>
      <c r="AP31" s="23">
        <v>40</v>
      </c>
      <c r="AV31" s="23">
        <v>4</v>
      </c>
      <c r="AW31" s="23">
        <v>2</v>
      </c>
      <c r="AZ31" s="23">
        <v>2</v>
      </c>
      <c r="BB31" s="23">
        <v>5</v>
      </c>
    </row>
    <row r="32" spans="1:54" x14ac:dyDescent="0.2">
      <c r="A32" s="23">
        <v>1188</v>
      </c>
      <c r="B32" s="23" t="s">
        <v>611</v>
      </c>
      <c r="C32" s="23" t="s">
        <v>66</v>
      </c>
      <c r="D32" s="23" t="s">
        <v>297</v>
      </c>
      <c r="E32" s="23">
        <v>23.71</v>
      </c>
      <c r="R32" s="23">
        <v>20</v>
      </c>
      <c r="AD32" s="23">
        <v>1</v>
      </c>
      <c r="AF32" s="23">
        <v>5</v>
      </c>
      <c r="AI32" s="23">
        <v>1</v>
      </c>
      <c r="AK32" s="23">
        <v>1</v>
      </c>
      <c r="AL32" s="23">
        <v>1</v>
      </c>
      <c r="AM32" s="23">
        <v>1</v>
      </c>
      <c r="AN32" s="23">
        <v>3</v>
      </c>
      <c r="AP32" s="23">
        <v>7</v>
      </c>
      <c r="AV32" s="23">
        <v>1</v>
      </c>
      <c r="BB32" s="23">
        <v>1</v>
      </c>
    </row>
    <row r="33" spans="1:54" x14ac:dyDescent="0.2">
      <c r="A33" s="23">
        <v>1194</v>
      </c>
      <c r="B33" s="23" t="s">
        <v>611</v>
      </c>
      <c r="C33" s="23" t="s">
        <v>69</v>
      </c>
      <c r="D33" s="23" t="s">
        <v>297</v>
      </c>
      <c r="E33" s="23">
        <v>26.92</v>
      </c>
      <c r="P33" s="23">
        <v>5</v>
      </c>
      <c r="R33" s="23">
        <v>27</v>
      </c>
      <c r="V33" s="23">
        <v>2</v>
      </c>
      <c r="AD33" s="23">
        <v>1</v>
      </c>
      <c r="AF33" s="23">
        <v>4</v>
      </c>
      <c r="AK33" s="23">
        <v>1</v>
      </c>
      <c r="AL33" s="23">
        <v>3</v>
      </c>
      <c r="AP33" s="23">
        <v>7</v>
      </c>
      <c r="AZ33" s="23">
        <v>1</v>
      </c>
    </row>
    <row r="34" spans="1:54" x14ac:dyDescent="0.2">
      <c r="A34" s="23">
        <v>1012</v>
      </c>
      <c r="B34" s="23" t="s">
        <v>606</v>
      </c>
      <c r="C34" s="23" t="s">
        <v>32</v>
      </c>
      <c r="D34" s="23" t="s">
        <v>297</v>
      </c>
      <c r="E34" s="23">
        <v>11.18</v>
      </c>
      <c r="R34" s="23">
        <v>1</v>
      </c>
      <c r="AF34" s="23">
        <v>3</v>
      </c>
      <c r="AP34" s="23">
        <v>4</v>
      </c>
      <c r="AQ34" s="23">
        <v>1</v>
      </c>
      <c r="BB34" s="23">
        <v>1</v>
      </c>
    </row>
    <row r="35" spans="1:54" x14ac:dyDescent="0.2">
      <c r="A35" s="23">
        <v>1152</v>
      </c>
      <c r="B35" s="23" t="s">
        <v>611</v>
      </c>
      <c r="C35" s="23" t="s">
        <v>32</v>
      </c>
      <c r="D35" s="23" t="s">
        <v>297</v>
      </c>
      <c r="E35" s="23">
        <v>6.88</v>
      </c>
      <c r="L35" s="23">
        <v>5</v>
      </c>
      <c r="R35" s="23">
        <v>5</v>
      </c>
      <c r="X35" s="23">
        <v>1</v>
      </c>
      <c r="AF35" s="23">
        <v>12</v>
      </c>
      <c r="AK35" s="23">
        <v>3</v>
      </c>
      <c r="AL35" s="23">
        <v>2</v>
      </c>
      <c r="AP35" s="23">
        <v>2</v>
      </c>
      <c r="AZ35" s="23">
        <v>1</v>
      </c>
      <c r="BB35" s="23">
        <v>1</v>
      </c>
    </row>
    <row r="36" spans="1:54" x14ac:dyDescent="0.2">
      <c r="A36" s="23">
        <v>1171</v>
      </c>
      <c r="B36" s="23" t="s">
        <v>611</v>
      </c>
      <c r="C36" s="23" t="s">
        <v>23</v>
      </c>
      <c r="D36" s="23" t="s">
        <v>297</v>
      </c>
      <c r="E36" s="23">
        <v>4.79</v>
      </c>
      <c r="R36" s="23">
        <v>8</v>
      </c>
      <c r="T36" s="23">
        <v>1</v>
      </c>
      <c r="AF36" s="23">
        <v>5</v>
      </c>
      <c r="AK36" s="23">
        <v>2</v>
      </c>
      <c r="AL36" s="23">
        <v>1</v>
      </c>
      <c r="AP36" s="23">
        <v>2</v>
      </c>
      <c r="AV36" s="23">
        <v>3</v>
      </c>
      <c r="AY36" s="23">
        <v>1</v>
      </c>
      <c r="BB36" s="23">
        <v>1</v>
      </c>
    </row>
    <row r="37" spans="1:54" x14ac:dyDescent="0.2">
      <c r="A37" s="23">
        <v>1185</v>
      </c>
      <c r="B37" s="23" t="s">
        <v>611</v>
      </c>
      <c r="C37" s="23" t="s">
        <v>102</v>
      </c>
      <c r="D37" s="23" t="s">
        <v>297</v>
      </c>
      <c r="E37" s="23">
        <v>3.86</v>
      </c>
      <c r="L37" s="23">
        <v>2</v>
      </c>
      <c r="R37" s="23">
        <v>1</v>
      </c>
      <c r="AF37" s="23">
        <v>9</v>
      </c>
      <c r="AK37" s="23">
        <v>2</v>
      </c>
      <c r="AL37" s="23">
        <v>1</v>
      </c>
      <c r="AP37" s="23">
        <v>2</v>
      </c>
      <c r="AV37" s="23">
        <v>1</v>
      </c>
      <c r="AZ37" s="23">
        <v>2</v>
      </c>
      <c r="BB37" s="23">
        <v>2</v>
      </c>
    </row>
    <row r="38" spans="1:54" x14ac:dyDescent="0.2">
      <c r="A38" s="23">
        <v>1050</v>
      </c>
      <c r="B38" s="23" t="s">
        <v>606</v>
      </c>
      <c r="C38" s="23" t="s">
        <v>35</v>
      </c>
      <c r="D38" s="23" t="s">
        <v>297</v>
      </c>
      <c r="E38" s="23">
        <v>29.75</v>
      </c>
      <c r="R38" s="23">
        <v>32</v>
      </c>
      <c r="AF38" s="23">
        <v>2</v>
      </c>
      <c r="AK38" s="23">
        <v>4</v>
      </c>
      <c r="AP38" s="23">
        <v>3</v>
      </c>
      <c r="AV38" s="23">
        <v>1</v>
      </c>
      <c r="AW38" s="23">
        <v>1</v>
      </c>
      <c r="AX38" s="23">
        <v>1</v>
      </c>
      <c r="AZ38" s="23">
        <v>2</v>
      </c>
      <c r="BB38" s="23">
        <v>2</v>
      </c>
    </row>
    <row r="39" spans="1:54" x14ac:dyDescent="0.2">
      <c r="A39" s="23">
        <v>1074</v>
      </c>
      <c r="B39" s="23" t="s">
        <v>606</v>
      </c>
      <c r="C39" s="23" t="s">
        <v>38</v>
      </c>
      <c r="D39" s="23" t="s">
        <v>297</v>
      </c>
      <c r="E39" s="23">
        <v>28.51</v>
      </c>
      <c r="R39" s="23">
        <v>100</v>
      </c>
      <c r="AD39" s="23">
        <v>1</v>
      </c>
      <c r="AF39" s="23">
        <v>2</v>
      </c>
      <c r="AL39" s="23">
        <v>2</v>
      </c>
      <c r="AM39" s="23">
        <v>1</v>
      </c>
      <c r="AP39" s="23">
        <v>4</v>
      </c>
      <c r="AU39" s="23">
        <v>1</v>
      </c>
      <c r="AV39" s="23">
        <v>1</v>
      </c>
      <c r="AW39" s="23">
        <v>4</v>
      </c>
      <c r="AZ39" s="23">
        <v>4</v>
      </c>
    </row>
    <row r="40" spans="1:54" x14ac:dyDescent="0.2">
      <c r="A40" s="23">
        <v>1153</v>
      </c>
      <c r="B40" s="23" t="s">
        <v>611</v>
      </c>
      <c r="C40" s="23" t="s">
        <v>35</v>
      </c>
      <c r="D40" s="23" t="s">
        <v>297</v>
      </c>
      <c r="E40" s="23">
        <v>1.34</v>
      </c>
      <c r="R40" s="23">
        <v>2</v>
      </c>
      <c r="AF40" s="23">
        <v>5</v>
      </c>
      <c r="AL40" s="23">
        <v>2</v>
      </c>
      <c r="AP40" s="23">
        <v>4</v>
      </c>
    </row>
  </sheetData>
  <mergeCells count="11">
    <mergeCell ref="A1:XFD1"/>
    <mergeCell ref="A2:C2"/>
    <mergeCell ref="D2:I2"/>
    <mergeCell ref="J2:AZ2"/>
    <mergeCell ref="E3:I3"/>
    <mergeCell ref="J3:O3"/>
    <mergeCell ref="P3:AC3"/>
    <mergeCell ref="AZ3:BB3"/>
    <mergeCell ref="AK3:AN3"/>
    <mergeCell ref="AD3:AJ3"/>
    <mergeCell ref="AO3:AU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BBA6C-A444-174C-8F52-66BCBA9374B0}">
  <dimension ref="A1:BE72"/>
  <sheetViews>
    <sheetView zoomScaleNormal="100" workbookViewId="0">
      <pane xSplit="3" ySplit="4" topLeftCell="AA5" activePane="bottomRight" state="frozen"/>
      <selection pane="topRight" activeCell="D1" sqref="D1"/>
      <selection pane="bottomLeft" activeCell="A3" sqref="A3"/>
      <selection pane="bottomRight" sqref="A1:K1"/>
    </sheetView>
  </sheetViews>
  <sheetFormatPr baseColWidth="10" defaultRowHeight="16" x14ac:dyDescent="0.2"/>
  <cols>
    <col min="1" max="1" width="14.33203125" style="23" customWidth="1"/>
    <col min="2" max="2" width="14.6640625" style="23" customWidth="1"/>
    <col min="3" max="3" width="12.83203125" style="23" customWidth="1"/>
    <col min="4" max="52" width="10.83203125" style="23"/>
    <col min="53" max="53" width="13.1640625" style="23" customWidth="1"/>
    <col min="54" max="16384" width="10.83203125" style="23"/>
  </cols>
  <sheetData>
    <row r="1" spans="1:57" ht="19" x14ac:dyDescent="0.25">
      <c r="A1" s="37" t="s">
        <v>630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57" s="27" customFormat="1" x14ac:dyDescent="0.2">
      <c r="A2" s="26" t="s">
        <v>0</v>
      </c>
      <c r="B2" s="26"/>
      <c r="C2" s="26"/>
      <c r="D2" s="26" t="s">
        <v>10</v>
      </c>
      <c r="E2" s="26"/>
      <c r="F2" s="26"/>
      <c r="G2" s="26"/>
      <c r="H2" s="26"/>
      <c r="I2" s="26"/>
      <c r="J2" s="26" t="s">
        <v>11</v>
      </c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</row>
    <row r="3" spans="1:57" s="17" customFormat="1" x14ac:dyDescent="0.2">
      <c r="A3" s="15"/>
      <c r="B3" s="15"/>
      <c r="C3" s="15"/>
      <c r="D3" s="16"/>
      <c r="E3" s="15" t="s">
        <v>589</v>
      </c>
      <c r="F3" s="15"/>
      <c r="G3" s="15"/>
      <c r="H3" s="15"/>
      <c r="I3" s="15"/>
      <c r="J3" s="15" t="s">
        <v>595</v>
      </c>
      <c r="K3" s="15"/>
      <c r="L3" s="15"/>
      <c r="M3" s="15"/>
      <c r="N3" s="15"/>
      <c r="O3" s="15"/>
      <c r="P3" s="15"/>
      <c r="Q3" s="15"/>
      <c r="R3" s="15" t="s">
        <v>591</v>
      </c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 t="s">
        <v>592</v>
      </c>
      <c r="AE3" s="15"/>
      <c r="AF3" s="15"/>
      <c r="AG3" s="15"/>
      <c r="AH3" s="15"/>
      <c r="AI3" s="15" t="s">
        <v>596</v>
      </c>
      <c r="AJ3" s="15"/>
      <c r="AK3" s="15"/>
      <c r="AL3" s="15"/>
      <c r="AM3" s="15"/>
      <c r="AN3" s="15"/>
      <c r="AO3" s="15"/>
      <c r="AP3" s="15" t="s">
        <v>597</v>
      </c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8" t="s">
        <v>594</v>
      </c>
      <c r="BB3" s="19"/>
      <c r="BC3" s="19"/>
      <c r="BD3" s="19"/>
      <c r="BE3" s="20"/>
    </row>
    <row r="4" spans="1:57" s="22" customFormat="1" x14ac:dyDescent="0.2">
      <c r="A4" s="17" t="s">
        <v>1</v>
      </c>
      <c r="B4" s="17" t="s">
        <v>2</v>
      </c>
      <c r="C4" s="17" t="s">
        <v>3</v>
      </c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12</v>
      </c>
      <c r="K4" s="17" t="s">
        <v>13</v>
      </c>
      <c r="L4" s="17" t="s">
        <v>632</v>
      </c>
      <c r="M4" s="17" t="s">
        <v>633</v>
      </c>
      <c r="N4" s="27" t="s">
        <v>638</v>
      </c>
      <c r="O4" s="27" t="s">
        <v>639</v>
      </c>
      <c r="P4" s="17" t="s">
        <v>640</v>
      </c>
      <c r="Q4" s="17" t="s">
        <v>641</v>
      </c>
      <c r="R4" s="17" t="s">
        <v>644</v>
      </c>
      <c r="S4" s="17" t="s">
        <v>645</v>
      </c>
      <c r="T4" s="17" t="s">
        <v>646</v>
      </c>
      <c r="U4" s="17" t="s">
        <v>647</v>
      </c>
      <c r="V4" s="17" t="s">
        <v>61</v>
      </c>
      <c r="W4" s="17" t="s">
        <v>200</v>
      </c>
      <c r="X4" s="17" t="s">
        <v>652</v>
      </c>
      <c r="Y4" s="17" t="s">
        <v>653</v>
      </c>
      <c r="Z4" s="17" t="s">
        <v>17</v>
      </c>
      <c r="AA4" s="17" t="s">
        <v>18</v>
      </c>
      <c r="AB4" s="17" t="s">
        <v>19</v>
      </c>
      <c r="AC4" s="17" t="s">
        <v>20</v>
      </c>
      <c r="AD4" s="17" t="s">
        <v>654</v>
      </c>
      <c r="AE4" s="17" t="s">
        <v>655</v>
      </c>
      <c r="AF4" s="17" t="s">
        <v>656</v>
      </c>
      <c r="AG4" s="17" t="s">
        <v>657</v>
      </c>
      <c r="AH4" s="17" t="s">
        <v>658</v>
      </c>
      <c r="AI4" s="17" t="s">
        <v>659</v>
      </c>
      <c r="AJ4" s="17" t="s">
        <v>47</v>
      </c>
      <c r="AK4" s="17" t="s">
        <v>660</v>
      </c>
      <c r="AL4" s="17" t="s">
        <v>661</v>
      </c>
      <c r="AM4" s="17" t="s">
        <v>663</v>
      </c>
      <c r="AN4" s="17" t="s">
        <v>662</v>
      </c>
      <c r="AO4" s="17" t="s">
        <v>664</v>
      </c>
      <c r="AP4" s="17" t="s">
        <v>665</v>
      </c>
      <c r="AQ4" s="17" t="s">
        <v>666</v>
      </c>
      <c r="AR4" s="17" t="s">
        <v>667</v>
      </c>
      <c r="AS4" s="17" t="s">
        <v>668</v>
      </c>
      <c r="AT4" s="17" t="s">
        <v>669</v>
      </c>
      <c r="AU4" s="17" t="s">
        <v>648</v>
      </c>
      <c r="AV4" s="17" t="s">
        <v>411</v>
      </c>
      <c r="AW4" s="17" t="s">
        <v>670</v>
      </c>
      <c r="AX4" s="17" t="s">
        <v>671</v>
      </c>
      <c r="AY4" s="17" t="s">
        <v>672</v>
      </c>
      <c r="AZ4" s="17" t="s">
        <v>673</v>
      </c>
      <c r="BA4" s="17" t="s">
        <v>25</v>
      </c>
      <c r="BB4" s="17" t="s">
        <v>471</v>
      </c>
      <c r="BC4" s="17" t="s">
        <v>462</v>
      </c>
      <c r="BD4" s="17" t="s">
        <v>620</v>
      </c>
      <c r="BE4" s="17" t="s">
        <v>90</v>
      </c>
    </row>
    <row r="5" spans="1:57" x14ac:dyDescent="0.2">
      <c r="A5" s="23" t="s">
        <v>37</v>
      </c>
      <c r="B5" s="23" t="s">
        <v>34</v>
      </c>
      <c r="C5" s="23" t="s">
        <v>38</v>
      </c>
      <c r="D5" s="23" t="s">
        <v>298</v>
      </c>
      <c r="E5" s="23">
        <v>0.89</v>
      </c>
      <c r="F5" s="23">
        <v>0.66</v>
      </c>
      <c r="G5" s="23">
        <v>0.23</v>
      </c>
      <c r="H5" s="23">
        <v>0</v>
      </c>
      <c r="I5" s="23" t="s">
        <v>21</v>
      </c>
      <c r="AD5" s="23">
        <v>1</v>
      </c>
    </row>
    <row r="6" spans="1:57" x14ac:dyDescent="0.2">
      <c r="A6" s="23" t="s">
        <v>40</v>
      </c>
      <c r="B6" s="23" t="s">
        <v>41</v>
      </c>
      <c r="C6" s="23" t="s">
        <v>42</v>
      </c>
      <c r="D6" s="23" t="s">
        <v>298</v>
      </c>
      <c r="E6" s="23">
        <v>1.01</v>
      </c>
      <c r="F6" s="23">
        <v>0.09</v>
      </c>
      <c r="G6" s="23">
        <v>0.5</v>
      </c>
      <c r="H6" s="23">
        <v>0.33</v>
      </c>
      <c r="I6" s="23">
        <v>0.04</v>
      </c>
      <c r="Z6" s="23">
        <v>4</v>
      </c>
      <c r="AA6" s="23">
        <v>0.04</v>
      </c>
      <c r="AB6" s="23">
        <v>3</v>
      </c>
      <c r="AC6" s="23" t="s">
        <v>21</v>
      </c>
      <c r="AM6" s="23" t="s">
        <v>39</v>
      </c>
    </row>
    <row r="7" spans="1:57" x14ac:dyDescent="0.2">
      <c r="B7" s="23" t="s">
        <v>151</v>
      </c>
      <c r="C7" s="23" t="s">
        <v>42</v>
      </c>
      <c r="D7" s="23" t="s">
        <v>298</v>
      </c>
      <c r="E7" s="23">
        <v>0.06</v>
      </c>
      <c r="I7" s="23">
        <v>0.06</v>
      </c>
    </row>
    <row r="8" spans="1:57" x14ac:dyDescent="0.2">
      <c r="A8" s="23">
        <v>132661</v>
      </c>
      <c r="B8" s="23" t="s">
        <v>198</v>
      </c>
      <c r="C8" s="23" t="s">
        <v>199</v>
      </c>
      <c r="D8" s="23" t="s">
        <v>298</v>
      </c>
      <c r="E8" s="23">
        <v>1.0900000000000001</v>
      </c>
      <c r="H8" s="23">
        <v>0.74</v>
      </c>
      <c r="I8" s="23">
        <v>0.35</v>
      </c>
    </row>
    <row r="9" spans="1:57" x14ac:dyDescent="0.2">
      <c r="A9" s="23">
        <v>132666</v>
      </c>
      <c r="B9" s="23" t="s">
        <v>198</v>
      </c>
      <c r="C9" s="23" t="s">
        <v>167</v>
      </c>
      <c r="D9" s="23" t="s">
        <v>298</v>
      </c>
      <c r="E9" s="23">
        <v>0.39</v>
      </c>
      <c r="F9" s="23">
        <v>0.03</v>
      </c>
      <c r="I9" s="23">
        <v>0.36</v>
      </c>
    </row>
    <row r="10" spans="1:57" x14ac:dyDescent="0.2">
      <c r="A10" s="23" t="s">
        <v>201</v>
      </c>
      <c r="B10" s="23" t="s">
        <v>198</v>
      </c>
      <c r="C10" s="23" t="s">
        <v>165</v>
      </c>
      <c r="D10" s="23" t="s">
        <v>298</v>
      </c>
      <c r="E10" s="23">
        <v>1.1200000000000001</v>
      </c>
      <c r="F10" s="23">
        <v>0.12</v>
      </c>
      <c r="G10" s="23">
        <v>0.47</v>
      </c>
      <c r="H10" s="23">
        <v>0.23</v>
      </c>
      <c r="I10" s="23">
        <v>0.28000000000000003</v>
      </c>
      <c r="J10" s="23">
        <v>2</v>
      </c>
      <c r="K10" s="23" t="s">
        <v>21</v>
      </c>
      <c r="N10" s="23">
        <v>1</v>
      </c>
      <c r="O10" s="23" t="s">
        <v>21</v>
      </c>
      <c r="V10" s="23">
        <v>2</v>
      </c>
      <c r="W10" s="23" t="s">
        <v>21</v>
      </c>
      <c r="X10" s="23">
        <v>1</v>
      </c>
      <c r="Y10" s="23" t="s">
        <v>21</v>
      </c>
      <c r="AI10" s="23">
        <v>1</v>
      </c>
      <c r="AZ10" s="23">
        <v>1</v>
      </c>
      <c r="BE10" s="23">
        <v>1</v>
      </c>
    </row>
    <row r="11" spans="1:57" x14ac:dyDescent="0.2">
      <c r="A11" s="23" t="s">
        <v>218</v>
      </c>
      <c r="B11" s="23" t="s">
        <v>214</v>
      </c>
      <c r="C11" s="23" t="s">
        <v>188</v>
      </c>
      <c r="D11" s="23" t="s">
        <v>298</v>
      </c>
      <c r="E11" s="23">
        <f>1.18+0.95+0.93</f>
        <v>3.06</v>
      </c>
      <c r="F11" s="23">
        <f>0.2</f>
        <v>0.2</v>
      </c>
      <c r="G11" s="23">
        <f>0.47+0.57</f>
        <v>1.04</v>
      </c>
      <c r="H11" s="23">
        <v>0.27</v>
      </c>
      <c r="I11" s="23">
        <f>0.41+0.16+0.93</f>
        <v>1.5</v>
      </c>
      <c r="N11" s="23">
        <v>6</v>
      </c>
      <c r="O11" s="23">
        <v>0.03</v>
      </c>
      <c r="R11" s="23">
        <v>3</v>
      </c>
      <c r="S11" s="23">
        <v>0.02</v>
      </c>
      <c r="AE11" s="23">
        <v>4</v>
      </c>
      <c r="AF11" s="23">
        <v>1</v>
      </c>
      <c r="AJ11" s="23">
        <v>4</v>
      </c>
      <c r="BD11" s="23">
        <v>2</v>
      </c>
      <c r="BE11" s="23">
        <v>63</v>
      </c>
    </row>
    <row r="12" spans="1:57" x14ac:dyDescent="0.2">
      <c r="A12" s="23" t="s">
        <v>219</v>
      </c>
      <c r="B12" s="23" t="s">
        <v>214</v>
      </c>
      <c r="C12" s="23" t="s">
        <v>220</v>
      </c>
      <c r="D12" s="23" t="s">
        <v>298</v>
      </c>
      <c r="E12" s="23">
        <f>0.31+0.61+0.57</f>
        <v>1.4899999999999998</v>
      </c>
      <c r="F12" s="23">
        <f>0.13</f>
        <v>0.13</v>
      </c>
      <c r="G12" s="23">
        <v>0.3</v>
      </c>
      <c r="H12" s="23">
        <v>0.34</v>
      </c>
      <c r="I12" s="23">
        <v>0.7</v>
      </c>
      <c r="J12" s="23">
        <v>1</v>
      </c>
      <c r="K12" s="23" t="s">
        <v>21</v>
      </c>
      <c r="N12" s="23">
        <v>2</v>
      </c>
      <c r="O12" s="23" t="s">
        <v>21</v>
      </c>
      <c r="AI12" s="23">
        <v>6</v>
      </c>
      <c r="BE12" s="23">
        <v>55</v>
      </c>
    </row>
    <row r="13" spans="1:57" x14ac:dyDescent="0.2">
      <c r="A13" s="23" t="s">
        <v>221</v>
      </c>
      <c r="B13" s="23" t="s">
        <v>214</v>
      </c>
      <c r="C13" s="23" t="s">
        <v>222</v>
      </c>
      <c r="D13" s="23" t="s">
        <v>298</v>
      </c>
      <c r="E13" s="23">
        <f>1.28+0.19+0.42</f>
        <v>1.89</v>
      </c>
      <c r="F13" s="23">
        <v>0.39</v>
      </c>
      <c r="G13" s="23">
        <f>0.59+0.18</f>
        <v>0.77</v>
      </c>
      <c r="H13" s="23">
        <v>0.35</v>
      </c>
      <c r="I13" s="23">
        <v>0.34</v>
      </c>
      <c r="J13" s="23">
        <v>1</v>
      </c>
      <c r="K13" s="23" t="s">
        <v>21</v>
      </c>
      <c r="R13" s="23">
        <v>2</v>
      </c>
      <c r="S13" s="23" t="s">
        <v>21</v>
      </c>
      <c r="Z13" s="23">
        <v>1</v>
      </c>
      <c r="AA13" s="23" t="s">
        <v>21</v>
      </c>
      <c r="AE13" s="23">
        <v>1</v>
      </c>
      <c r="AF13" s="23">
        <v>1</v>
      </c>
      <c r="AI13" s="23">
        <v>4</v>
      </c>
      <c r="BD13" s="23">
        <v>4</v>
      </c>
      <c r="BE13" s="23">
        <v>29</v>
      </c>
    </row>
    <row r="14" spans="1:57" x14ac:dyDescent="0.2">
      <c r="A14" s="23" t="s">
        <v>223</v>
      </c>
      <c r="B14" s="23" t="s">
        <v>214</v>
      </c>
      <c r="C14" s="23" t="s">
        <v>224</v>
      </c>
      <c r="D14" s="23" t="s">
        <v>298</v>
      </c>
      <c r="E14" s="23">
        <f>0.37+0.16+2.27</f>
        <v>2.8</v>
      </c>
      <c r="F14" s="23">
        <v>0.25</v>
      </c>
      <c r="G14" s="23">
        <v>0.87</v>
      </c>
      <c r="H14" s="23">
        <v>1.28</v>
      </c>
      <c r="I14" s="23">
        <v>0.4</v>
      </c>
      <c r="L14" s="23">
        <v>4</v>
      </c>
      <c r="R14" s="23">
        <v>2</v>
      </c>
      <c r="S14" s="23">
        <v>0.02</v>
      </c>
      <c r="AF14" s="23">
        <v>1</v>
      </c>
      <c r="BE14" s="23">
        <v>10</v>
      </c>
    </row>
    <row r="15" spans="1:57" x14ac:dyDescent="0.2">
      <c r="A15" s="23" t="s">
        <v>225</v>
      </c>
      <c r="B15" s="23" t="s">
        <v>214</v>
      </c>
      <c r="C15" s="23" t="s">
        <v>131</v>
      </c>
      <c r="D15" s="23" t="s">
        <v>298</v>
      </c>
      <c r="E15" s="23">
        <v>1.79</v>
      </c>
      <c r="F15" s="23">
        <v>0.64</v>
      </c>
      <c r="G15" s="23">
        <v>1</v>
      </c>
      <c r="H15" s="23">
        <v>0.1</v>
      </c>
      <c r="I15" s="23">
        <v>0.03</v>
      </c>
      <c r="AI15" s="23">
        <v>2</v>
      </c>
      <c r="BD15" s="23">
        <v>2</v>
      </c>
      <c r="BE15" s="23">
        <v>15</v>
      </c>
    </row>
    <row r="16" spans="1:57" x14ac:dyDescent="0.2">
      <c r="A16" s="23" t="s">
        <v>229</v>
      </c>
      <c r="B16" s="23" t="s">
        <v>230</v>
      </c>
      <c r="D16" s="23" t="s">
        <v>297</v>
      </c>
      <c r="E16" s="23">
        <f>1.75+6.41</f>
        <v>8.16</v>
      </c>
      <c r="F16" s="23">
        <f>0.89+0.92</f>
        <v>1.81</v>
      </c>
      <c r="G16" s="23">
        <f>5.19+0.75</f>
        <v>5.94</v>
      </c>
      <c r="H16" s="23">
        <f>0.05</f>
        <v>0.05</v>
      </c>
      <c r="I16" s="23">
        <v>0.19</v>
      </c>
      <c r="L16" s="23">
        <v>14</v>
      </c>
      <c r="R16" s="29">
        <v>4</v>
      </c>
      <c r="S16" s="23">
        <v>0.05</v>
      </c>
      <c r="AD16" s="23">
        <v>7</v>
      </c>
      <c r="AE16" s="23">
        <v>5</v>
      </c>
      <c r="AG16" s="23">
        <v>5</v>
      </c>
      <c r="AN16" s="23">
        <v>1</v>
      </c>
      <c r="BA16" s="23">
        <v>1</v>
      </c>
      <c r="BD16" s="23">
        <v>13</v>
      </c>
    </row>
    <row r="17" spans="1:56" x14ac:dyDescent="0.2">
      <c r="B17" s="23" t="s">
        <v>231</v>
      </c>
      <c r="C17" s="23" t="s">
        <v>232</v>
      </c>
      <c r="D17" s="23" t="s">
        <v>297</v>
      </c>
      <c r="E17" s="23">
        <f>2.06+17.28</f>
        <v>19.34</v>
      </c>
      <c r="F17" s="23">
        <f>1.09+0.39</f>
        <v>1.48</v>
      </c>
      <c r="G17" s="23">
        <f>5.34+0.78</f>
        <v>6.12</v>
      </c>
      <c r="H17" s="23">
        <f>10.07</f>
        <v>10.07</v>
      </c>
      <c r="I17" s="23">
        <f>1.39+0.17</f>
        <v>1.5599999999999998</v>
      </c>
      <c r="J17" s="23">
        <v>10</v>
      </c>
      <c r="K17" s="23">
        <v>0.06</v>
      </c>
      <c r="R17" s="23">
        <v>2</v>
      </c>
      <c r="S17" s="23">
        <v>0.01</v>
      </c>
      <c r="AD17" s="23">
        <v>1</v>
      </c>
      <c r="AI17" s="23">
        <v>4</v>
      </c>
      <c r="AO17" s="23">
        <v>2</v>
      </c>
      <c r="AP17" s="23">
        <v>2</v>
      </c>
      <c r="AU17" s="23">
        <v>1</v>
      </c>
      <c r="AV17" s="23">
        <v>1</v>
      </c>
      <c r="AZ17" s="23">
        <v>1</v>
      </c>
      <c r="BD17" s="23">
        <v>7</v>
      </c>
    </row>
    <row r="18" spans="1:56" x14ac:dyDescent="0.2">
      <c r="A18" s="23" t="s">
        <v>233</v>
      </c>
      <c r="B18" s="23" t="s">
        <v>234</v>
      </c>
      <c r="C18" s="23" t="s">
        <v>160</v>
      </c>
      <c r="D18" s="23" t="s">
        <v>297</v>
      </c>
      <c r="E18" s="23">
        <v>0.3</v>
      </c>
      <c r="F18" s="23">
        <v>0.02</v>
      </c>
      <c r="G18" s="23">
        <v>7.0000000000000007E-2</v>
      </c>
      <c r="H18" s="23">
        <v>0.21</v>
      </c>
      <c r="I18" s="23" t="s">
        <v>21</v>
      </c>
    </row>
    <row r="19" spans="1:56" x14ac:dyDescent="0.2">
      <c r="A19" s="23" t="s">
        <v>235</v>
      </c>
      <c r="B19" s="23" t="s">
        <v>236</v>
      </c>
      <c r="C19" s="23" t="s">
        <v>160</v>
      </c>
      <c r="D19" s="23" t="s">
        <v>297</v>
      </c>
      <c r="E19" s="23">
        <v>0.12</v>
      </c>
      <c r="G19" s="23">
        <v>0.02</v>
      </c>
      <c r="H19" s="23">
        <v>0.1</v>
      </c>
    </row>
    <row r="20" spans="1:56" x14ac:dyDescent="0.2">
      <c r="A20" s="23">
        <v>133517</v>
      </c>
      <c r="B20" s="23" t="s">
        <v>237</v>
      </c>
      <c r="C20" s="23" t="s">
        <v>160</v>
      </c>
      <c r="D20" s="23" t="s">
        <v>297</v>
      </c>
      <c r="E20" s="23">
        <v>0.02</v>
      </c>
      <c r="F20" s="23">
        <v>0.01</v>
      </c>
      <c r="I20" s="23">
        <v>0.01</v>
      </c>
    </row>
    <row r="21" spans="1:56" x14ac:dyDescent="0.2">
      <c r="A21" s="23" t="s">
        <v>238</v>
      </c>
      <c r="B21" s="23" t="s">
        <v>239</v>
      </c>
      <c r="C21" s="23" t="s">
        <v>240</v>
      </c>
      <c r="D21" s="23" t="s">
        <v>297</v>
      </c>
      <c r="E21" s="23">
        <v>0.04</v>
      </c>
      <c r="F21" s="23">
        <v>0.02</v>
      </c>
      <c r="G21" s="23">
        <v>0.02</v>
      </c>
      <c r="L21" s="23">
        <v>1</v>
      </c>
    </row>
    <row r="22" spans="1:56" x14ac:dyDescent="0.2">
      <c r="A22" s="23" t="s">
        <v>241</v>
      </c>
      <c r="B22" s="23" t="s">
        <v>242</v>
      </c>
      <c r="C22" s="23" t="s">
        <v>160</v>
      </c>
      <c r="D22" s="23" t="s">
        <v>297</v>
      </c>
      <c r="E22" s="23">
        <v>0.06</v>
      </c>
      <c r="G22" s="23">
        <v>0.06</v>
      </c>
      <c r="L22" s="23">
        <v>1</v>
      </c>
    </row>
    <row r="23" spans="1:56" x14ac:dyDescent="0.2">
      <c r="A23" s="23">
        <v>133311</v>
      </c>
      <c r="B23" s="23" t="s">
        <v>252</v>
      </c>
      <c r="C23" s="23" t="s">
        <v>253</v>
      </c>
      <c r="D23" s="23" t="s">
        <v>298</v>
      </c>
      <c r="R23" s="23">
        <v>3</v>
      </c>
      <c r="S23" s="23">
        <v>0.08</v>
      </c>
    </row>
    <row r="24" spans="1:56" x14ac:dyDescent="0.2">
      <c r="A24" s="23" t="s">
        <v>254</v>
      </c>
      <c r="B24" s="23" t="s">
        <v>252</v>
      </c>
      <c r="C24" s="23" t="s">
        <v>255</v>
      </c>
      <c r="D24" s="23" t="s">
        <v>298</v>
      </c>
      <c r="E24" s="23">
        <v>5.43</v>
      </c>
      <c r="F24" s="23">
        <v>0.08</v>
      </c>
      <c r="G24" s="23">
        <v>0.08</v>
      </c>
      <c r="H24" s="23">
        <v>5.23</v>
      </c>
      <c r="R24" s="23">
        <v>7</v>
      </c>
      <c r="S24" s="23">
        <v>0.03</v>
      </c>
    </row>
    <row r="25" spans="1:56" x14ac:dyDescent="0.2">
      <c r="A25" s="23" t="s">
        <v>256</v>
      </c>
      <c r="B25" s="23" t="s">
        <v>252</v>
      </c>
      <c r="C25" s="23" t="s">
        <v>257</v>
      </c>
      <c r="D25" s="23" t="s">
        <v>298</v>
      </c>
      <c r="E25" s="23">
        <v>0.79</v>
      </c>
      <c r="F25" s="23">
        <v>7.0000000000000007E-2</v>
      </c>
      <c r="G25" s="23">
        <v>0.23</v>
      </c>
      <c r="H25" s="23">
        <v>0.06</v>
      </c>
      <c r="I25" s="23">
        <v>0.08</v>
      </c>
      <c r="L25" s="23">
        <v>1</v>
      </c>
      <c r="N25" s="23">
        <v>1</v>
      </c>
      <c r="O25" s="23" t="s">
        <v>21</v>
      </c>
      <c r="R25" s="23">
        <v>24</v>
      </c>
      <c r="S25" s="23">
        <v>0.25</v>
      </c>
      <c r="T25" s="23">
        <v>1</v>
      </c>
      <c r="U25" s="23">
        <v>0.06</v>
      </c>
      <c r="X25" s="23">
        <v>2</v>
      </c>
      <c r="Y25" s="23" t="s">
        <v>21</v>
      </c>
      <c r="AH25" s="23">
        <v>1</v>
      </c>
      <c r="BD25" s="23">
        <v>2</v>
      </c>
    </row>
    <row r="26" spans="1:56" x14ac:dyDescent="0.2">
      <c r="A26" s="23" t="s">
        <v>258</v>
      </c>
      <c r="B26" s="23" t="s">
        <v>259</v>
      </c>
      <c r="C26" s="23" t="s">
        <v>186</v>
      </c>
      <c r="D26" s="23" t="s">
        <v>298</v>
      </c>
      <c r="I26" s="23">
        <v>0.59</v>
      </c>
      <c r="R26" s="23">
        <v>2</v>
      </c>
      <c r="S26" s="23">
        <v>0.34</v>
      </c>
    </row>
    <row r="27" spans="1:56" x14ac:dyDescent="0.2">
      <c r="A27" s="23" t="s">
        <v>260</v>
      </c>
      <c r="B27" s="23" t="s">
        <v>261</v>
      </c>
      <c r="C27" s="23" t="s">
        <v>165</v>
      </c>
      <c r="D27" s="23" t="s">
        <v>298</v>
      </c>
      <c r="I27" s="23">
        <v>0.6</v>
      </c>
    </row>
    <row r="28" spans="1:56" x14ac:dyDescent="0.2">
      <c r="A28" s="29">
        <v>133614</v>
      </c>
      <c r="B28" s="23" t="s">
        <v>261</v>
      </c>
      <c r="C28" s="23" t="s">
        <v>160</v>
      </c>
      <c r="D28" s="23" t="s">
        <v>298</v>
      </c>
      <c r="I28" s="23">
        <v>0.32</v>
      </c>
    </row>
    <row r="29" spans="1:56" x14ac:dyDescent="0.2">
      <c r="A29" s="23">
        <v>133616</v>
      </c>
      <c r="B29" s="23" t="s">
        <v>261</v>
      </c>
      <c r="C29" s="23" t="s">
        <v>203</v>
      </c>
      <c r="D29" s="23" t="s">
        <v>298</v>
      </c>
      <c r="I29" s="23">
        <v>0.38</v>
      </c>
    </row>
    <row r="30" spans="1:56" x14ac:dyDescent="0.2">
      <c r="A30" s="23" t="s">
        <v>273</v>
      </c>
      <c r="B30" s="23" t="s">
        <v>261</v>
      </c>
      <c r="C30" s="23" t="s">
        <v>274</v>
      </c>
      <c r="D30" s="23" t="s">
        <v>298</v>
      </c>
      <c r="I30" s="23">
        <v>0.6</v>
      </c>
    </row>
    <row r="31" spans="1:56" x14ac:dyDescent="0.2">
      <c r="A31" s="23" t="s">
        <v>275</v>
      </c>
      <c r="B31" s="23" t="s">
        <v>244</v>
      </c>
      <c r="C31" s="23" t="s">
        <v>158</v>
      </c>
      <c r="D31" s="23" t="s">
        <v>298</v>
      </c>
      <c r="E31" s="23">
        <v>0.24</v>
      </c>
      <c r="F31" s="23">
        <v>0.12</v>
      </c>
      <c r="G31" s="23">
        <v>0.1</v>
      </c>
      <c r="I31" s="23">
        <v>0.01</v>
      </c>
      <c r="J31" s="23">
        <v>1</v>
      </c>
      <c r="K31" s="23" t="s">
        <v>21</v>
      </c>
      <c r="N31" s="23">
        <v>3</v>
      </c>
      <c r="O31" s="23" t="s">
        <v>21</v>
      </c>
      <c r="R31" s="23">
        <v>2</v>
      </c>
      <c r="S31" s="23">
        <v>0.01</v>
      </c>
    </row>
    <row r="32" spans="1:56" x14ac:dyDescent="0.2">
      <c r="A32" s="23" t="s">
        <v>276</v>
      </c>
      <c r="B32" s="23" t="s">
        <v>277</v>
      </c>
      <c r="C32" s="23" t="s">
        <v>278</v>
      </c>
      <c r="D32" s="23" t="s">
        <v>298</v>
      </c>
      <c r="E32" s="23">
        <v>0.2</v>
      </c>
      <c r="F32" s="23">
        <v>0.05</v>
      </c>
      <c r="G32" s="23">
        <v>0.11</v>
      </c>
      <c r="I32" s="23">
        <v>0.01</v>
      </c>
      <c r="N32" s="23">
        <v>4</v>
      </c>
      <c r="O32" s="23">
        <v>0.01</v>
      </c>
      <c r="R32" s="23">
        <v>4</v>
      </c>
      <c r="S32" s="23">
        <v>0.02</v>
      </c>
      <c r="AX32" s="23">
        <v>1</v>
      </c>
    </row>
    <row r="33" spans="1:57" x14ac:dyDescent="0.2">
      <c r="A33" s="23" t="s">
        <v>287</v>
      </c>
      <c r="B33" s="23" t="s">
        <v>261</v>
      </c>
      <c r="C33" s="23" t="s">
        <v>279</v>
      </c>
      <c r="D33" s="23" t="s">
        <v>298</v>
      </c>
      <c r="I33" s="23">
        <f>0.71+0.62</f>
        <v>1.33</v>
      </c>
      <c r="L33" s="23">
        <v>1</v>
      </c>
      <c r="M33" s="23">
        <v>7.0000000000000007E-2</v>
      </c>
    </row>
    <row r="34" spans="1:57" x14ac:dyDescent="0.2">
      <c r="A34" s="23" t="s">
        <v>150</v>
      </c>
      <c r="B34" s="23" t="s">
        <v>146</v>
      </c>
      <c r="C34" s="23" t="s">
        <v>42</v>
      </c>
      <c r="D34" s="23" t="s">
        <v>298</v>
      </c>
      <c r="E34" s="23">
        <v>0.67</v>
      </c>
      <c r="H34" s="23">
        <v>0.08</v>
      </c>
      <c r="I34" s="23">
        <v>0.59</v>
      </c>
    </row>
    <row r="35" spans="1:57" x14ac:dyDescent="0.2">
      <c r="A35" s="23">
        <v>132233</v>
      </c>
      <c r="B35" s="23" t="s">
        <v>146</v>
      </c>
      <c r="C35" s="23" t="s">
        <v>38</v>
      </c>
      <c r="D35" s="23" t="s">
        <v>298</v>
      </c>
      <c r="E35" s="23">
        <v>0.9</v>
      </c>
      <c r="I35" s="23">
        <v>0.83</v>
      </c>
      <c r="T35" s="23">
        <v>1</v>
      </c>
      <c r="U35" s="23">
        <v>7.0000000000000007E-2</v>
      </c>
    </row>
    <row r="36" spans="1:57" x14ac:dyDescent="0.2">
      <c r="A36" s="23">
        <v>134941</v>
      </c>
      <c r="B36" s="23" t="s">
        <v>380</v>
      </c>
      <c r="C36" s="23" t="s">
        <v>23</v>
      </c>
      <c r="D36" s="23" t="s">
        <v>297</v>
      </c>
      <c r="E36" s="23" t="s">
        <v>21</v>
      </c>
      <c r="F36" s="23" t="s">
        <v>21</v>
      </c>
    </row>
    <row r="37" spans="1:57" x14ac:dyDescent="0.2">
      <c r="A37" s="23" t="s">
        <v>458</v>
      </c>
      <c r="B37" s="23" t="s">
        <v>459</v>
      </c>
      <c r="C37" s="23" t="s">
        <v>16</v>
      </c>
      <c r="D37" s="23" t="s">
        <v>297</v>
      </c>
      <c r="E37" s="23">
        <f>22.5+1.15</f>
        <v>23.65</v>
      </c>
      <c r="F37" s="23">
        <v>1.04</v>
      </c>
      <c r="G37" s="23">
        <f>7.55+0.53</f>
        <v>8.08</v>
      </c>
      <c r="H37" s="23">
        <v>11.66</v>
      </c>
      <c r="I37" s="23">
        <v>2.2999999999999998</v>
      </c>
      <c r="J37" s="23">
        <v>12</v>
      </c>
      <c r="K37" s="23">
        <v>0.06</v>
      </c>
      <c r="L37" s="23">
        <v>6</v>
      </c>
      <c r="M37" s="23">
        <v>0.01</v>
      </c>
      <c r="N37" s="23">
        <v>4</v>
      </c>
      <c r="O37" s="23">
        <v>0.01</v>
      </c>
      <c r="R37" s="23">
        <v>48</v>
      </c>
      <c r="S37" s="23">
        <v>0.4</v>
      </c>
      <c r="AD37" s="23">
        <v>3</v>
      </c>
      <c r="AF37" s="23">
        <v>2</v>
      </c>
      <c r="AG37" s="23">
        <v>1</v>
      </c>
      <c r="AP37" s="23">
        <v>1</v>
      </c>
      <c r="AQ37" s="23">
        <v>1</v>
      </c>
      <c r="AR37" s="23">
        <v>1</v>
      </c>
      <c r="AZ37" s="23">
        <v>5</v>
      </c>
      <c r="BD37" s="23">
        <v>4</v>
      </c>
      <c r="BE37" s="23">
        <v>98</v>
      </c>
    </row>
    <row r="38" spans="1:57" x14ac:dyDescent="0.2">
      <c r="A38" s="23" t="s">
        <v>460</v>
      </c>
      <c r="B38" s="23" t="s">
        <v>459</v>
      </c>
      <c r="C38" s="23" t="s">
        <v>59</v>
      </c>
      <c r="D38" s="23" t="s">
        <v>297</v>
      </c>
      <c r="E38" s="23">
        <f>18.61+2.85</f>
        <v>21.46</v>
      </c>
      <c r="F38" s="23">
        <f>0.79+0.63</f>
        <v>1.42</v>
      </c>
      <c r="G38" s="23">
        <f>6.01+1.83</f>
        <v>7.84</v>
      </c>
      <c r="H38" s="23">
        <f>9.42</f>
        <v>9.42</v>
      </c>
      <c r="I38" s="23">
        <f>1.98+0.32</f>
        <v>2.2999999999999998</v>
      </c>
      <c r="J38" s="23">
        <v>8</v>
      </c>
      <c r="K38" s="23">
        <v>0.03</v>
      </c>
      <c r="N38" s="23">
        <v>4</v>
      </c>
      <c r="O38" s="23">
        <v>0.01</v>
      </c>
      <c r="P38" s="23">
        <v>3</v>
      </c>
      <c r="Q38" s="23">
        <v>0.01</v>
      </c>
      <c r="R38" s="23">
        <v>43</v>
      </c>
      <c r="S38" s="23">
        <v>0.37</v>
      </c>
      <c r="AD38" s="23">
        <v>2</v>
      </c>
      <c r="AE38" s="23">
        <v>3</v>
      </c>
      <c r="AF38" s="23">
        <v>1</v>
      </c>
      <c r="AG38" s="23">
        <v>2</v>
      </c>
      <c r="AQ38" s="23">
        <v>1</v>
      </c>
      <c r="AR38" s="23">
        <v>2</v>
      </c>
      <c r="AZ38" s="23">
        <v>4</v>
      </c>
      <c r="BD38" s="23">
        <v>8</v>
      </c>
      <c r="BE38" s="23">
        <v>68</v>
      </c>
    </row>
    <row r="39" spans="1:57" x14ac:dyDescent="0.2">
      <c r="A39" s="23" t="s">
        <v>461</v>
      </c>
      <c r="B39" s="23" t="s">
        <v>459</v>
      </c>
      <c r="C39" s="23" t="s">
        <v>63</v>
      </c>
      <c r="D39" s="23" t="s">
        <v>297</v>
      </c>
      <c r="E39" s="23">
        <f>20.7+1.35</f>
        <v>22.05</v>
      </c>
      <c r="F39" s="23">
        <v>1.54</v>
      </c>
      <c r="G39" s="23">
        <f>6.91+0.61</f>
        <v>7.5200000000000005</v>
      </c>
      <c r="H39" s="23">
        <f>10.68</f>
        <v>10.68</v>
      </c>
      <c r="I39" s="23">
        <f>1.72+0.16</f>
        <v>1.88</v>
      </c>
      <c r="J39" s="23">
        <v>5</v>
      </c>
      <c r="K39" s="23">
        <v>0.01</v>
      </c>
      <c r="L39" s="23">
        <v>7</v>
      </c>
      <c r="M39" s="23" t="s">
        <v>21</v>
      </c>
      <c r="P39" s="23">
        <v>7</v>
      </c>
      <c r="Q39" s="23" t="s">
        <v>21</v>
      </c>
      <c r="R39" s="23">
        <v>25</v>
      </c>
      <c r="S39" s="23">
        <v>0.26</v>
      </c>
      <c r="AD39" s="23">
        <v>2</v>
      </c>
      <c r="AE39" s="23">
        <v>4</v>
      </c>
      <c r="AF39" s="23">
        <v>8</v>
      </c>
      <c r="AI39" s="23">
        <v>5</v>
      </c>
      <c r="AQ39" s="23">
        <v>1</v>
      </c>
      <c r="AZ39" s="23">
        <v>4</v>
      </c>
      <c r="BC39" s="23">
        <v>2</v>
      </c>
      <c r="BD39" s="23">
        <v>6</v>
      </c>
      <c r="BE39" s="23">
        <v>48</v>
      </c>
    </row>
    <row r="40" spans="1:57" x14ac:dyDescent="0.2">
      <c r="A40" s="23" t="s">
        <v>463</v>
      </c>
      <c r="B40" s="23" t="s">
        <v>459</v>
      </c>
      <c r="C40" s="23" t="s">
        <v>66</v>
      </c>
      <c r="D40" s="23" t="s">
        <v>297</v>
      </c>
      <c r="E40" s="23">
        <f>45.73+2.95</f>
        <v>48.68</v>
      </c>
      <c r="F40" s="23">
        <f>3.06</f>
        <v>3.06</v>
      </c>
      <c r="G40" s="23">
        <f>13.15</f>
        <v>13.15</v>
      </c>
      <c r="H40" s="23">
        <f>27.11</f>
        <v>27.11</v>
      </c>
      <c r="I40" s="23">
        <f>3.69+0.82</f>
        <v>4.51</v>
      </c>
      <c r="J40" s="23">
        <v>11</v>
      </c>
      <c r="K40" s="23">
        <v>0.02</v>
      </c>
      <c r="L40" s="23">
        <v>15</v>
      </c>
      <c r="M40" s="23">
        <v>0.02</v>
      </c>
      <c r="N40" s="23">
        <v>10</v>
      </c>
      <c r="O40" s="23">
        <v>0.02</v>
      </c>
      <c r="R40" s="23">
        <v>57</v>
      </c>
      <c r="S40" s="23">
        <v>0.45</v>
      </c>
      <c r="X40" s="23">
        <v>1</v>
      </c>
      <c r="Y40" s="23" t="s">
        <v>21</v>
      </c>
      <c r="AD40" s="23">
        <v>4</v>
      </c>
      <c r="AE40" s="23">
        <v>5</v>
      </c>
      <c r="AF40" s="23">
        <v>10</v>
      </c>
      <c r="AG40" s="23">
        <v>2</v>
      </c>
      <c r="AI40" s="23">
        <v>2</v>
      </c>
      <c r="AP40" s="23">
        <v>1</v>
      </c>
      <c r="AQ40" s="23">
        <v>2</v>
      </c>
      <c r="AZ40" s="23">
        <v>7</v>
      </c>
      <c r="BD40" s="23">
        <v>9</v>
      </c>
      <c r="BE40" s="23">
        <v>218</v>
      </c>
    </row>
    <row r="41" spans="1:57" x14ac:dyDescent="0.2">
      <c r="A41" s="23" t="s">
        <v>464</v>
      </c>
      <c r="B41" s="23" t="s">
        <v>459</v>
      </c>
      <c r="C41" s="23" t="s">
        <v>69</v>
      </c>
      <c r="D41" s="23" t="s">
        <v>297</v>
      </c>
      <c r="E41" s="23">
        <f>71.68+2.67</f>
        <v>74.350000000000009</v>
      </c>
      <c r="F41" s="23">
        <f>1.39+0.82</f>
        <v>2.21</v>
      </c>
      <c r="G41" s="23">
        <f>15.21+0.74</f>
        <v>15.950000000000001</v>
      </c>
      <c r="H41" s="23">
        <f>50.04</f>
        <v>50.04</v>
      </c>
      <c r="I41" s="23">
        <f>4.54+0.96</f>
        <v>5.5</v>
      </c>
      <c r="J41" s="23">
        <v>5</v>
      </c>
      <c r="K41" s="23">
        <v>0.05</v>
      </c>
      <c r="L41" s="23">
        <v>9</v>
      </c>
      <c r="M41" s="23">
        <v>0.01</v>
      </c>
      <c r="N41" s="23">
        <v>8</v>
      </c>
      <c r="O41" s="23">
        <v>0.04</v>
      </c>
      <c r="P41" s="23">
        <v>14</v>
      </c>
      <c r="Q41" s="23">
        <v>0.02</v>
      </c>
      <c r="R41" s="23">
        <v>39</v>
      </c>
      <c r="S41" s="23">
        <v>0.45</v>
      </c>
      <c r="X41" s="23">
        <v>2</v>
      </c>
      <c r="Y41" s="23" t="s">
        <v>21</v>
      </c>
      <c r="AD41" s="23">
        <v>4</v>
      </c>
      <c r="AF41" s="23">
        <v>7</v>
      </c>
      <c r="AI41" s="23">
        <v>1</v>
      </c>
      <c r="AL41" s="23">
        <v>2</v>
      </c>
      <c r="AO41" s="23">
        <v>2</v>
      </c>
      <c r="AQ41" s="23">
        <v>1</v>
      </c>
      <c r="BD41" s="23">
        <v>2</v>
      </c>
      <c r="BE41" s="23">
        <v>143</v>
      </c>
    </row>
    <row r="42" spans="1:57" x14ac:dyDescent="0.2">
      <c r="A42" s="23" t="s">
        <v>465</v>
      </c>
      <c r="B42" s="23" t="s">
        <v>459</v>
      </c>
      <c r="C42" s="23" t="s">
        <v>32</v>
      </c>
      <c r="D42" s="23" t="s">
        <v>297</v>
      </c>
      <c r="E42" s="23">
        <f>65.06+2.84</f>
        <v>67.900000000000006</v>
      </c>
      <c r="F42" s="23">
        <v>3.56</v>
      </c>
      <c r="G42" s="23">
        <v>12.23</v>
      </c>
      <c r="H42" s="23">
        <v>46.84</v>
      </c>
      <c r="I42" s="23">
        <v>4.76</v>
      </c>
      <c r="J42" s="23">
        <v>9</v>
      </c>
      <c r="K42" s="23">
        <v>0.02</v>
      </c>
      <c r="L42" s="23">
        <v>11</v>
      </c>
      <c r="M42" s="23">
        <v>0.01</v>
      </c>
      <c r="N42" s="23">
        <v>3</v>
      </c>
      <c r="O42" s="23" t="s">
        <v>21</v>
      </c>
      <c r="P42" s="23">
        <v>4</v>
      </c>
      <c r="Q42" s="23" t="s">
        <v>21</v>
      </c>
      <c r="R42" s="23">
        <v>38</v>
      </c>
      <c r="S42" s="23">
        <v>0.34</v>
      </c>
      <c r="AD42" s="23">
        <v>2</v>
      </c>
      <c r="AE42" s="23">
        <v>2</v>
      </c>
      <c r="AF42" s="23">
        <v>4</v>
      </c>
      <c r="AI42" s="23">
        <v>2</v>
      </c>
      <c r="AQ42" s="23">
        <v>3</v>
      </c>
      <c r="AW42" s="23">
        <v>1</v>
      </c>
      <c r="AZ42" s="23">
        <v>2</v>
      </c>
      <c r="BD42" s="23">
        <v>7</v>
      </c>
      <c r="BE42" s="23">
        <v>128</v>
      </c>
    </row>
    <row r="43" spans="1:57" x14ac:dyDescent="0.2">
      <c r="A43" s="23" t="s">
        <v>466</v>
      </c>
      <c r="B43" s="23" t="s">
        <v>467</v>
      </c>
      <c r="C43" s="23" t="s">
        <v>23</v>
      </c>
      <c r="D43" s="23" t="s">
        <v>297</v>
      </c>
      <c r="E43" s="23">
        <v>68.290000000000006</v>
      </c>
      <c r="F43" s="23">
        <f>1.76+0.46</f>
        <v>2.2200000000000002</v>
      </c>
      <c r="G43" s="23">
        <f>13.81+0.44</f>
        <v>14.25</v>
      </c>
      <c r="H43" s="23">
        <f>47.11</f>
        <v>47.11</v>
      </c>
      <c r="I43" s="23">
        <f>3.69+0.29</f>
        <v>3.98</v>
      </c>
      <c r="J43" s="23">
        <v>12</v>
      </c>
      <c r="K43" s="23">
        <v>0.11</v>
      </c>
      <c r="L43" s="23">
        <v>5</v>
      </c>
      <c r="M43" s="23" t="s">
        <v>21</v>
      </c>
      <c r="N43" s="23">
        <v>3</v>
      </c>
      <c r="O43" s="23" t="s">
        <v>21</v>
      </c>
      <c r="P43" s="23">
        <v>2</v>
      </c>
      <c r="Q43" s="23" t="s">
        <v>21</v>
      </c>
      <c r="R43" s="23">
        <v>28</v>
      </c>
      <c r="S43" s="23">
        <v>0.34</v>
      </c>
      <c r="T43" s="23">
        <v>3</v>
      </c>
      <c r="U43" s="23">
        <v>0.12</v>
      </c>
      <c r="AD43" s="23">
        <v>1</v>
      </c>
      <c r="AG43" s="23">
        <v>1</v>
      </c>
      <c r="AI43" s="23">
        <v>1</v>
      </c>
      <c r="AQ43" s="23">
        <v>5</v>
      </c>
      <c r="BD43" s="23">
        <v>3</v>
      </c>
      <c r="BE43" s="23">
        <v>143</v>
      </c>
    </row>
    <row r="44" spans="1:57" x14ac:dyDescent="0.2">
      <c r="A44" s="23" t="s">
        <v>468</v>
      </c>
      <c r="B44" s="23" t="s">
        <v>459</v>
      </c>
      <c r="C44" s="23" t="s">
        <v>35</v>
      </c>
      <c r="D44" s="23" t="s">
        <v>297</v>
      </c>
      <c r="E44" s="23">
        <f>32.58+0.95</f>
        <v>33.53</v>
      </c>
      <c r="F44" s="23">
        <f>1.14+0.37</f>
        <v>1.5099999999999998</v>
      </c>
      <c r="G44" s="23">
        <f>11.07+0.35</f>
        <v>11.42</v>
      </c>
      <c r="H44" s="23">
        <f>17.22</f>
        <v>17.22</v>
      </c>
      <c r="I44" s="23">
        <f>2.94+0.17</f>
        <v>3.11</v>
      </c>
      <c r="J44" s="23">
        <v>8</v>
      </c>
      <c r="K44" s="23">
        <v>0.02</v>
      </c>
      <c r="L44" s="23">
        <v>2</v>
      </c>
      <c r="M44" s="23" t="s">
        <v>21</v>
      </c>
      <c r="N44" s="23">
        <v>3</v>
      </c>
      <c r="O44" s="23">
        <v>0.02</v>
      </c>
      <c r="P44" s="23">
        <v>1</v>
      </c>
      <c r="Q44" s="23" t="s">
        <v>21</v>
      </c>
      <c r="R44" s="23">
        <v>19</v>
      </c>
      <c r="S44" s="23">
        <v>0.15</v>
      </c>
      <c r="AD44" s="23">
        <v>1</v>
      </c>
      <c r="AE44" s="23">
        <v>1</v>
      </c>
      <c r="AF44" s="23">
        <v>2</v>
      </c>
      <c r="AJ44" s="23">
        <v>1</v>
      </c>
      <c r="AP44" s="23">
        <v>1</v>
      </c>
      <c r="AQ44" s="23">
        <v>1</v>
      </c>
      <c r="BC44" s="23">
        <v>1</v>
      </c>
      <c r="BD44" s="23">
        <v>4</v>
      </c>
      <c r="BE44" s="23">
        <v>78</v>
      </c>
    </row>
    <row r="45" spans="1:57" x14ac:dyDescent="0.2">
      <c r="A45" s="23" t="s">
        <v>469</v>
      </c>
      <c r="B45" s="23" t="s">
        <v>467</v>
      </c>
      <c r="C45" s="23" t="s">
        <v>38</v>
      </c>
      <c r="D45" s="23" t="s">
        <v>297</v>
      </c>
      <c r="E45" s="23">
        <f>83.24+1.48</f>
        <v>84.72</v>
      </c>
      <c r="F45" s="23">
        <f>3.9</f>
        <v>3.9</v>
      </c>
      <c r="G45" s="23">
        <f>10.94+0.42</f>
        <v>11.36</v>
      </c>
      <c r="H45" s="23">
        <f>65.75</f>
        <v>65.75</v>
      </c>
      <c r="I45" s="23">
        <f>3.29+0.18</f>
        <v>3.47</v>
      </c>
      <c r="J45" s="23">
        <v>3</v>
      </c>
      <c r="K45" s="23" t="s">
        <v>21</v>
      </c>
      <c r="L45" s="23">
        <v>1</v>
      </c>
      <c r="M45" s="23" t="s">
        <v>21</v>
      </c>
      <c r="R45" s="23">
        <v>18</v>
      </c>
      <c r="S45" s="23">
        <v>0.18</v>
      </c>
      <c r="X45" s="23">
        <v>1</v>
      </c>
      <c r="Y45" s="23" t="s">
        <v>21</v>
      </c>
      <c r="AD45" s="23">
        <v>2</v>
      </c>
      <c r="AE45" s="23">
        <v>1</v>
      </c>
      <c r="AQ45" s="23">
        <v>8</v>
      </c>
      <c r="AX45" s="23">
        <v>1</v>
      </c>
      <c r="AZ45" s="23">
        <v>3</v>
      </c>
      <c r="BD45" s="23">
        <v>4</v>
      </c>
      <c r="BE45" s="23">
        <v>67</v>
      </c>
    </row>
    <row r="46" spans="1:57" x14ac:dyDescent="0.2">
      <c r="A46" s="23" t="s">
        <v>470</v>
      </c>
      <c r="B46" s="23" t="s">
        <v>459</v>
      </c>
      <c r="C46" s="23" t="s">
        <v>42</v>
      </c>
      <c r="D46" s="23" t="s">
        <v>297</v>
      </c>
      <c r="E46" s="23">
        <f>68.07+1.24+1.24</f>
        <v>70.549999999999983</v>
      </c>
      <c r="F46" s="23">
        <f>1.78+0.49</f>
        <v>2.27</v>
      </c>
      <c r="G46" s="23">
        <f>12.54+0.35</f>
        <v>12.889999999999999</v>
      </c>
      <c r="H46" s="23">
        <v>49.02</v>
      </c>
      <c r="I46" s="23">
        <f>4.37+0.38+1.24</f>
        <v>5.99</v>
      </c>
      <c r="J46" s="23">
        <v>12</v>
      </c>
      <c r="K46" s="23">
        <v>0.12</v>
      </c>
      <c r="N46" s="23">
        <v>1</v>
      </c>
      <c r="O46" s="23" t="s">
        <v>21</v>
      </c>
      <c r="R46" s="23">
        <v>14</v>
      </c>
      <c r="S46" s="23">
        <v>0.16</v>
      </c>
      <c r="T46" s="23">
        <v>2</v>
      </c>
      <c r="U46" s="23">
        <v>0.14000000000000001</v>
      </c>
      <c r="AS46" s="23">
        <v>1</v>
      </c>
      <c r="BB46" s="23">
        <v>1</v>
      </c>
      <c r="BD46" s="23">
        <v>3</v>
      </c>
      <c r="BE46" s="23">
        <v>10</v>
      </c>
    </row>
    <row r="47" spans="1:57" x14ac:dyDescent="0.2">
      <c r="A47" s="23" t="s">
        <v>472</v>
      </c>
      <c r="B47" s="23" t="s">
        <v>459</v>
      </c>
      <c r="C47" s="23" t="s">
        <v>44</v>
      </c>
      <c r="D47" s="23" t="s">
        <v>297</v>
      </c>
      <c r="E47" s="23">
        <f>5.52+0.19</f>
        <v>5.71</v>
      </c>
      <c r="F47" s="23">
        <f>0.3</f>
        <v>0.3</v>
      </c>
      <c r="G47" s="23">
        <v>1.84</v>
      </c>
      <c r="H47" s="23">
        <v>3.35</v>
      </c>
      <c r="I47" s="23">
        <v>0.2</v>
      </c>
      <c r="R47" s="23">
        <v>4</v>
      </c>
      <c r="S47" s="23">
        <v>0.01</v>
      </c>
      <c r="AE47" s="23">
        <v>1</v>
      </c>
      <c r="AW47" s="23">
        <v>1</v>
      </c>
      <c r="BE47" s="23">
        <v>1</v>
      </c>
    </row>
    <row r="48" spans="1:57" x14ac:dyDescent="0.2">
      <c r="A48" s="23" t="s">
        <v>524</v>
      </c>
      <c r="B48" s="23" t="s">
        <v>525</v>
      </c>
      <c r="C48" s="23" t="s">
        <v>23</v>
      </c>
      <c r="D48" s="23" t="s">
        <v>297</v>
      </c>
      <c r="E48" s="23">
        <f>5.19+0.28</f>
        <v>5.4700000000000006</v>
      </c>
      <c r="F48" s="23">
        <f>1.05</f>
        <v>1.05</v>
      </c>
      <c r="G48" s="23">
        <f>3.93+0.15</f>
        <v>4.08</v>
      </c>
      <c r="H48" s="23">
        <f>0.24</f>
        <v>0.24</v>
      </c>
      <c r="I48" s="23">
        <v>0.01</v>
      </c>
      <c r="R48" s="23">
        <v>7</v>
      </c>
      <c r="S48" s="23">
        <v>7.0000000000000007E-2</v>
      </c>
      <c r="BE48" s="23">
        <v>9</v>
      </c>
    </row>
    <row r="49" spans="1:57" x14ac:dyDescent="0.2">
      <c r="A49" s="23" t="s">
        <v>526</v>
      </c>
      <c r="B49" s="23" t="s">
        <v>527</v>
      </c>
      <c r="C49" s="23" t="s">
        <v>23</v>
      </c>
      <c r="D49" s="23" t="s">
        <v>297</v>
      </c>
      <c r="E49" s="23">
        <v>1.44</v>
      </c>
      <c r="F49" s="23">
        <v>0.18</v>
      </c>
      <c r="G49" s="23">
        <v>1.02</v>
      </c>
      <c r="I49" s="23">
        <v>0.17</v>
      </c>
      <c r="R49" s="23">
        <v>8</v>
      </c>
      <c r="S49" s="23">
        <v>0.06</v>
      </c>
      <c r="AJ49" s="23">
        <v>3</v>
      </c>
      <c r="BE49" s="23">
        <v>7</v>
      </c>
    </row>
    <row r="50" spans="1:57" x14ac:dyDescent="0.2">
      <c r="A50" s="23">
        <v>133006</v>
      </c>
      <c r="B50" s="23" t="s">
        <v>534</v>
      </c>
      <c r="C50" s="23" t="s">
        <v>220</v>
      </c>
      <c r="D50" s="23" t="s">
        <v>298</v>
      </c>
      <c r="E50" s="23">
        <v>0.1</v>
      </c>
      <c r="I50" s="23">
        <v>0.1</v>
      </c>
    </row>
    <row r="51" spans="1:57" x14ac:dyDescent="0.2">
      <c r="A51" s="23">
        <v>133012</v>
      </c>
      <c r="B51" s="23" t="s">
        <v>534</v>
      </c>
      <c r="C51" s="23" t="s">
        <v>131</v>
      </c>
      <c r="D51" s="23" t="s">
        <v>298</v>
      </c>
      <c r="E51" s="23">
        <v>0.62</v>
      </c>
      <c r="I51" s="23">
        <v>0.62</v>
      </c>
    </row>
    <row r="52" spans="1:57" x14ac:dyDescent="0.2">
      <c r="A52" s="23" t="s">
        <v>535</v>
      </c>
      <c r="B52" s="23" t="s">
        <v>534</v>
      </c>
      <c r="C52" s="23" t="s">
        <v>133</v>
      </c>
      <c r="D52" s="23" t="s">
        <v>298</v>
      </c>
      <c r="E52" s="23">
        <v>0.62</v>
      </c>
      <c r="F52" s="23">
        <v>0.09</v>
      </c>
      <c r="G52" s="23">
        <v>0.44</v>
      </c>
      <c r="H52" s="23">
        <v>0.09</v>
      </c>
      <c r="BE52" s="23">
        <v>2</v>
      </c>
    </row>
    <row r="53" spans="1:57" x14ac:dyDescent="0.2">
      <c r="A53" s="23" t="s">
        <v>543</v>
      </c>
      <c r="B53" s="23" t="s">
        <v>541</v>
      </c>
      <c r="C53" s="23" t="s">
        <v>544</v>
      </c>
      <c r="D53" s="23" t="s">
        <v>298</v>
      </c>
      <c r="E53" s="23">
        <f>1.05+0.58</f>
        <v>1.63</v>
      </c>
      <c r="F53" s="23">
        <f>0.9</f>
        <v>0.9</v>
      </c>
      <c r="G53" s="23">
        <f>0.46</f>
        <v>0.46</v>
      </c>
      <c r="H53" s="23">
        <v>0.13</v>
      </c>
      <c r="I53" s="23">
        <v>0.11</v>
      </c>
      <c r="L53" s="23">
        <v>3</v>
      </c>
      <c r="M53" s="23" t="s">
        <v>21</v>
      </c>
      <c r="N53" s="23">
        <v>1</v>
      </c>
      <c r="O53" s="23" t="s">
        <v>21</v>
      </c>
      <c r="AN53" s="23">
        <v>1</v>
      </c>
      <c r="AZ53" s="23">
        <v>1</v>
      </c>
      <c r="BE53" s="23">
        <v>1</v>
      </c>
    </row>
    <row r="54" spans="1:57" x14ac:dyDescent="0.2">
      <c r="A54" s="23" t="s">
        <v>545</v>
      </c>
      <c r="B54" s="23" t="s">
        <v>541</v>
      </c>
      <c r="C54" s="23" t="s">
        <v>170</v>
      </c>
      <c r="D54" s="23" t="s">
        <v>298</v>
      </c>
      <c r="E54" s="23">
        <f>0.56+0.47</f>
        <v>1.03</v>
      </c>
      <c r="F54" s="23">
        <v>0.28000000000000003</v>
      </c>
      <c r="G54" s="23">
        <v>0.37</v>
      </c>
      <c r="H54" s="23">
        <v>0.1</v>
      </c>
      <c r="I54" s="23">
        <v>0.28000000000000003</v>
      </c>
      <c r="P54" s="23">
        <v>1</v>
      </c>
      <c r="Q54" s="23" t="s">
        <v>21</v>
      </c>
      <c r="R54" s="23">
        <v>1</v>
      </c>
      <c r="S54" s="23" t="s">
        <v>21</v>
      </c>
      <c r="AW54" s="23">
        <v>1</v>
      </c>
      <c r="BE54" s="23">
        <v>10</v>
      </c>
    </row>
    <row r="55" spans="1:57" x14ac:dyDescent="0.2">
      <c r="A55" s="23" t="s">
        <v>546</v>
      </c>
      <c r="B55" s="23" t="s">
        <v>540</v>
      </c>
      <c r="C55" s="23" t="s">
        <v>23</v>
      </c>
      <c r="D55" s="23" t="s">
        <v>298</v>
      </c>
      <c r="E55" s="23">
        <f>1.25+1.28+0.2+0.51</f>
        <v>3.24</v>
      </c>
      <c r="F55" s="23">
        <f>0.31+0.38+0.12</f>
        <v>0.80999999999999994</v>
      </c>
      <c r="G55" s="23">
        <f>0.82+0.9+0.07</f>
        <v>1.79</v>
      </c>
      <c r="H55" s="23">
        <v>0</v>
      </c>
      <c r="I55" s="23">
        <v>0.53</v>
      </c>
      <c r="R55" s="23">
        <v>9</v>
      </c>
      <c r="S55" s="23">
        <v>0.1</v>
      </c>
      <c r="BE55" s="23">
        <f>4+2+6+16</f>
        <v>28</v>
      </c>
    </row>
    <row r="56" spans="1:57" x14ac:dyDescent="0.2">
      <c r="A56" s="23" t="s">
        <v>547</v>
      </c>
      <c r="B56" s="23" t="s">
        <v>540</v>
      </c>
      <c r="C56" s="23" t="s">
        <v>102</v>
      </c>
      <c r="D56" s="23" t="s">
        <v>298</v>
      </c>
      <c r="E56" s="23">
        <f>1.71+2.51+0.14+0.44</f>
        <v>4.8</v>
      </c>
      <c r="F56" s="23">
        <f>0.7+0.34+0.08+0.21</f>
        <v>1.33</v>
      </c>
      <c r="G56" s="23">
        <f>0.26+1.01+1.89</f>
        <v>3.16</v>
      </c>
      <c r="H56" s="23">
        <f>0.05</f>
        <v>0.05</v>
      </c>
      <c r="I56" s="23">
        <f>0.2</f>
        <v>0.2</v>
      </c>
      <c r="R56" s="23">
        <v>1</v>
      </c>
      <c r="S56" s="23" t="s">
        <v>21</v>
      </c>
      <c r="BE56" s="23">
        <v>64</v>
      </c>
    </row>
    <row r="57" spans="1:57" x14ac:dyDescent="0.2">
      <c r="A57" s="23" t="s">
        <v>548</v>
      </c>
      <c r="B57" s="23" t="s">
        <v>549</v>
      </c>
      <c r="C57" s="23" t="s">
        <v>102</v>
      </c>
      <c r="D57" s="23" t="s">
        <v>298</v>
      </c>
      <c r="E57" s="23">
        <v>0.34</v>
      </c>
      <c r="F57" s="23">
        <v>0.18</v>
      </c>
      <c r="G57" s="23">
        <v>0.13</v>
      </c>
      <c r="H57" s="23">
        <v>0.01</v>
      </c>
      <c r="I57" s="23">
        <v>0.02</v>
      </c>
      <c r="BE57" s="23">
        <v>15</v>
      </c>
    </row>
    <row r="58" spans="1:57" x14ac:dyDescent="0.2">
      <c r="A58" s="23" t="s">
        <v>550</v>
      </c>
      <c r="B58" s="23" t="s">
        <v>549</v>
      </c>
      <c r="C58" s="23" t="s">
        <v>104</v>
      </c>
      <c r="D58" s="23" t="s">
        <v>298</v>
      </c>
      <c r="E58" s="23">
        <v>0.54</v>
      </c>
      <c r="F58" s="23">
        <v>0.33</v>
      </c>
      <c r="G58" s="23">
        <v>0.18</v>
      </c>
      <c r="H58" s="23">
        <v>0.03</v>
      </c>
      <c r="BE58" s="23">
        <v>45</v>
      </c>
    </row>
    <row r="59" spans="1:57" x14ac:dyDescent="0.2">
      <c r="A59" s="23" t="s">
        <v>561</v>
      </c>
      <c r="B59" s="23" t="s">
        <v>562</v>
      </c>
      <c r="C59" s="23" t="s">
        <v>16</v>
      </c>
      <c r="D59" s="28" t="s">
        <v>297</v>
      </c>
      <c r="E59" s="23">
        <v>1.1399999999999999</v>
      </c>
      <c r="F59" s="23">
        <v>0.25</v>
      </c>
      <c r="G59" s="23">
        <v>0.63</v>
      </c>
      <c r="H59" s="23">
        <v>0.05</v>
      </c>
      <c r="I59" s="23">
        <v>0.18</v>
      </c>
      <c r="L59" s="23">
        <v>1</v>
      </c>
      <c r="M59" s="23" t="s">
        <v>21</v>
      </c>
      <c r="R59" s="23">
        <v>1</v>
      </c>
      <c r="S59" s="23">
        <v>0.02</v>
      </c>
      <c r="AD59" s="23">
        <v>1</v>
      </c>
      <c r="AN59" s="23">
        <v>1</v>
      </c>
      <c r="AT59" s="23">
        <v>1</v>
      </c>
      <c r="AZ59" s="23">
        <v>3</v>
      </c>
      <c r="BD59" s="23">
        <v>1</v>
      </c>
    </row>
    <row r="60" spans="1:57" x14ac:dyDescent="0.2">
      <c r="A60" s="23">
        <v>13441</v>
      </c>
      <c r="B60" s="23" t="s">
        <v>563</v>
      </c>
      <c r="C60" s="23" t="s">
        <v>274</v>
      </c>
      <c r="D60" s="23" t="s">
        <v>297</v>
      </c>
      <c r="J60" s="23">
        <v>1</v>
      </c>
      <c r="K60" s="23">
        <v>0.06</v>
      </c>
    </row>
    <row r="61" spans="1:57" x14ac:dyDescent="0.2">
      <c r="A61" s="23" t="s">
        <v>566</v>
      </c>
      <c r="B61" s="23" t="s">
        <v>567</v>
      </c>
      <c r="C61" s="23" t="s">
        <v>568</v>
      </c>
      <c r="D61" s="23" t="s">
        <v>297</v>
      </c>
      <c r="E61" s="23">
        <v>1.69</v>
      </c>
      <c r="F61" s="23">
        <v>0.51</v>
      </c>
      <c r="G61" s="23">
        <v>0.97</v>
      </c>
      <c r="H61" s="23">
        <v>0.09</v>
      </c>
      <c r="I61" s="23">
        <v>0.1</v>
      </c>
      <c r="R61" s="23">
        <v>1</v>
      </c>
      <c r="S61" s="23">
        <v>0.01</v>
      </c>
      <c r="AZ61" s="23">
        <v>2</v>
      </c>
      <c r="BD61" s="23">
        <v>2</v>
      </c>
    </row>
    <row r="62" spans="1:57" x14ac:dyDescent="0.2">
      <c r="A62" s="23" t="s">
        <v>576</v>
      </c>
      <c r="B62" s="23" t="s">
        <v>577</v>
      </c>
      <c r="C62" s="23" t="s">
        <v>568</v>
      </c>
      <c r="D62" s="23" t="s">
        <v>297</v>
      </c>
      <c r="E62" s="23">
        <f>5.28+0.83</f>
        <v>6.11</v>
      </c>
      <c r="F62" s="23">
        <f>0.96+0.34</f>
        <v>1.3</v>
      </c>
      <c r="G62" s="23">
        <f>3.76+0.47</f>
        <v>4.2299999999999995</v>
      </c>
      <c r="H62" s="23">
        <f>0.33</f>
        <v>0.33</v>
      </c>
      <c r="I62" s="23">
        <f>0.21</f>
        <v>0.21</v>
      </c>
      <c r="L62" s="23">
        <v>2</v>
      </c>
      <c r="M62" s="23" t="s">
        <v>21</v>
      </c>
      <c r="AF62" s="23">
        <v>1</v>
      </c>
      <c r="BD62" s="23">
        <v>5</v>
      </c>
      <c r="BE62" s="23">
        <v>22</v>
      </c>
    </row>
    <row r="63" spans="1:57" x14ac:dyDescent="0.2">
      <c r="A63" s="23">
        <v>134487</v>
      </c>
      <c r="B63" s="23" t="s">
        <v>569</v>
      </c>
      <c r="C63" s="23" t="s">
        <v>274</v>
      </c>
      <c r="D63" s="23" t="s">
        <v>297</v>
      </c>
      <c r="E63" s="23">
        <v>0.94</v>
      </c>
      <c r="I63" s="23">
        <v>0.94</v>
      </c>
    </row>
    <row r="64" spans="1:57" x14ac:dyDescent="0.2">
      <c r="A64" s="23" t="s">
        <v>570</v>
      </c>
      <c r="B64" s="23" t="s">
        <v>571</v>
      </c>
      <c r="C64" s="23" t="s">
        <v>240</v>
      </c>
      <c r="D64" s="23" t="s">
        <v>297</v>
      </c>
      <c r="E64" s="23">
        <v>1.77</v>
      </c>
      <c r="F64" s="23">
        <v>0.01</v>
      </c>
      <c r="G64" s="23">
        <v>0.56000000000000005</v>
      </c>
      <c r="H64" s="23">
        <v>0.73</v>
      </c>
      <c r="I64" s="23">
        <v>0.47</v>
      </c>
      <c r="BE64" s="23">
        <v>1</v>
      </c>
    </row>
    <row r="65" spans="1:57" x14ac:dyDescent="0.2">
      <c r="A65" s="23" t="s">
        <v>202</v>
      </c>
      <c r="B65" s="23" t="s">
        <v>198</v>
      </c>
      <c r="C65" s="23" t="s">
        <v>203</v>
      </c>
      <c r="D65" s="23" t="s">
        <v>298</v>
      </c>
      <c r="E65" s="23">
        <v>0.63</v>
      </c>
      <c r="F65" s="23">
        <v>0.28000000000000003</v>
      </c>
      <c r="G65" s="23">
        <v>0.27</v>
      </c>
      <c r="I65" s="23">
        <v>0.08</v>
      </c>
      <c r="N65" s="23">
        <v>2</v>
      </c>
      <c r="O65" s="23" t="s">
        <v>21</v>
      </c>
      <c r="AJ65" s="23">
        <v>2</v>
      </c>
      <c r="BE65" s="23">
        <v>10</v>
      </c>
    </row>
    <row r="66" spans="1:57" x14ac:dyDescent="0.2">
      <c r="A66" s="23" t="s">
        <v>204</v>
      </c>
      <c r="B66" s="23" t="s">
        <v>198</v>
      </c>
      <c r="C66" s="23" t="s">
        <v>205</v>
      </c>
      <c r="D66" s="23" t="s">
        <v>298</v>
      </c>
      <c r="E66" s="23">
        <v>0.12</v>
      </c>
      <c r="F66" s="23">
        <v>0.04</v>
      </c>
      <c r="G66" s="23">
        <v>7.0000000000000007E-2</v>
      </c>
      <c r="I66" s="23">
        <v>0.01</v>
      </c>
      <c r="R66" s="23">
        <v>1</v>
      </c>
      <c r="S66" s="23" t="s">
        <v>21</v>
      </c>
      <c r="AJ66" s="23">
        <v>2</v>
      </c>
      <c r="BE66" s="23">
        <v>14</v>
      </c>
    </row>
    <row r="67" spans="1:57" x14ac:dyDescent="0.2">
      <c r="A67" s="23" t="s">
        <v>206</v>
      </c>
      <c r="B67" s="25" t="s">
        <v>198</v>
      </c>
      <c r="C67" s="23" t="s">
        <v>207</v>
      </c>
      <c r="D67" s="23" t="s">
        <v>298</v>
      </c>
      <c r="E67" s="23">
        <v>0.38</v>
      </c>
      <c r="F67" s="23">
        <v>0.13</v>
      </c>
      <c r="G67" s="23">
        <v>0.24</v>
      </c>
      <c r="I67" s="23">
        <v>0.01</v>
      </c>
      <c r="AI67" s="23">
        <v>2</v>
      </c>
      <c r="BD67" s="23">
        <v>1</v>
      </c>
      <c r="BE67" s="23">
        <v>25</v>
      </c>
    </row>
    <row r="68" spans="1:57" x14ac:dyDescent="0.2">
      <c r="A68" s="23" t="s">
        <v>208</v>
      </c>
      <c r="B68" s="23" t="s">
        <v>198</v>
      </c>
      <c r="C68" s="23" t="s">
        <v>159</v>
      </c>
      <c r="D68" s="23" t="s">
        <v>298</v>
      </c>
      <c r="E68" s="23">
        <v>3.69</v>
      </c>
      <c r="F68" s="23">
        <v>0.13</v>
      </c>
      <c r="G68" s="23">
        <v>3</v>
      </c>
      <c r="H68" s="23">
        <v>0.52</v>
      </c>
      <c r="I68" s="23">
        <v>0.03</v>
      </c>
      <c r="X68" s="23">
        <v>1</v>
      </c>
      <c r="Y68" s="23" t="s">
        <v>21</v>
      </c>
      <c r="BE68" s="23">
        <v>14</v>
      </c>
    </row>
    <row r="69" spans="1:57" x14ac:dyDescent="0.2">
      <c r="A69" s="23">
        <v>132684</v>
      </c>
      <c r="B69" s="23" t="s">
        <v>198</v>
      </c>
      <c r="C69" s="23" t="s">
        <v>209</v>
      </c>
      <c r="D69" s="23" t="s">
        <v>298</v>
      </c>
      <c r="E69" s="23">
        <v>0.27</v>
      </c>
      <c r="I69" s="23">
        <v>0.27</v>
      </c>
    </row>
    <row r="70" spans="1:57" x14ac:dyDescent="0.2">
      <c r="A70" s="23" t="s">
        <v>536</v>
      </c>
      <c r="B70" s="23" t="s">
        <v>534</v>
      </c>
      <c r="C70" s="23" t="s">
        <v>279</v>
      </c>
      <c r="D70" s="23" t="s">
        <v>298</v>
      </c>
      <c r="E70" s="23">
        <v>0.38</v>
      </c>
      <c r="F70" s="23">
        <v>7.0000000000000007E-2</v>
      </c>
      <c r="G70" s="23">
        <v>0.28000000000000003</v>
      </c>
      <c r="H70" s="23">
        <v>0.02</v>
      </c>
      <c r="I70" s="23">
        <v>0.01</v>
      </c>
      <c r="BE70" s="23">
        <v>26</v>
      </c>
    </row>
    <row r="71" spans="1:57" x14ac:dyDescent="0.2">
      <c r="A71" s="23" t="s">
        <v>537</v>
      </c>
      <c r="B71" s="23" t="s">
        <v>534</v>
      </c>
      <c r="C71" s="23" t="s">
        <v>274</v>
      </c>
      <c r="D71" s="23" t="s">
        <v>298</v>
      </c>
      <c r="E71" s="23">
        <v>1.01</v>
      </c>
      <c r="F71" s="23">
        <v>0.33</v>
      </c>
      <c r="G71" s="23">
        <v>0.64</v>
      </c>
      <c r="I71" s="23">
        <v>0.03</v>
      </c>
      <c r="BD71" s="23">
        <v>3</v>
      </c>
      <c r="BE71" s="23">
        <v>3</v>
      </c>
    </row>
    <row r="72" spans="1:57" x14ac:dyDescent="0.2">
      <c r="A72" s="23" t="s">
        <v>538</v>
      </c>
      <c r="B72" s="23" t="s">
        <v>534</v>
      </c>
      <c r="C72" s="23" t="s">
        <v>186</v>
      </c>
      <c r="D72" s="23" t="s">
        <v>298</v>
      </c>
      <c r="E72" s="23">
        <f>1.19+0.49</f>
        <v>1.68</v>
      </c>
      <c r="F72" s="23">
        <f>0.27+0.16</f>
        <v>0.43000000000000005</v>
      </c>
      <c r="G72" s="23">
        <f>1.09</f>
        <v>1.0900000000000001</v>
      </c>
      <c r="H72" s="23">
        <v>0</v>
      </c>
      <c r="I72" s="23">
        <f>0.11</f>
        <v>0.11</v>
      </c>
      <c r="AI72" s="23">
        <v>1</v>
      </c>
      <c r="AY72" s="23">
        <v>1</v>
      </c>
      <c r="BE72" s="23">
        <v>2</v>
      </c>
    </row>
  </sheetData>
  <mergeCells count="12">
    <mergeCell ref="A1:K1"/>
    <mergeCell ref="A2:C2"/>
    <mergeCell ref="D2:I2"/>
    <mergeCell ref="J2:BD2"/>
    <mergeCell ref="E3:I3"/>
    <mergeCell ref="J3:Q3"/>
    <mergeCell ref="R3:AC3"/>
    <mergeCell ref="AD3:AH3"/>
    <mergeCell ref="AI3:AO3"/>
    <mergeCell ref="AP3:AZ3"/>
    <mergeCell ref="A3:C3"/>
    <mergeCell ref="BA3:BE3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2EED-200B-1740-9EAE-AEF42025166C}">
  <dimension ref="A1:CD226"/>
  <sheetViews>
    <sheetView zoomScale="85" workbookViewId="0">
      <pane xSplit="3" ySplit="4" topLeftCell="AE5" activePane="bottomRight" state="frozen"/>
      <selection pane="topRight" activeCell="D1" sqref="D1"/>
      <selection pane="bottomLeft" activeCell="A3" sqref="A3"/>
      <selection pane="bottomRight" sqref="A1:D1"/>
    </sheetView>
  </sheetViews>
  <sheetFormatPr baseColWidth="10" defaultRowHeight="16" x14ac:dyDescent="0.2"/>
  <cols>
    <col min="1" max="1" width="15.33203125" style="23" customWidth="1"/>
    <col min="2" max="2" width="16.33203125" style="23" customWidth="1"/>
    <col min="3" max="3" width="15.1640625" style="23" customWidth="1"/>
    <col min="4" max="4" width="14.1640625" style="23" customWidth="1"/>
    <col min="5" max="5" width="22.83203125" style="23" customWidth="1"/>
    <col min="6" max="6" width="19.1640625" style="23" customWidth="1"/>
    <col min="7" max="7" width="10.83203125" style="23"/>
    <col min="8" max="8" width="15.1640625" style="23" customWidth="1"/>
    <col min="9" max="9" width="18.1640625" style="23" customWidth="1"/>
    <col min="10" max="10" width="10.83203125" style="23"/>
    <col min="11" max="25" width="13.1640625" style="23" customWidth="1"/>
    <col min="26" max="41" width="10.83203125" style="23"/>
    <col min="42" max="44" width="12.83203125" style="23" customWidth="1"/>
    <col min="45" max="48" width="10.83203125" style="23"/>
    <col min="49" max="49" width="18.1640625" style="23" customWidth="1"/>
    <col min="50" max="50" width="15.5" style="23" customWidth="1"/>
    <col min="51" max="55" width="10.83203125" style="23"/>
    <col min="56" max="60" width="12.83203125" style="23" customWidth="1"/>
    <col min="61" max="63" width="10.83203125" style="23"/>
    <col min="64" max="64" width="12.83203125" style="23" customWidth="1"/>
    <col min="65" max="65" width="17.5" style="23" customWidth="1"/>
    <col min="66" max="67" width="10.83203125" style="23"/>
    <col min="68" max="68" width="12.83203125" style="23" customWidth="1"/>
    <col min="69" max="69" width="15.83203125" style="23" customWidth="1"/>
    <col min="70" max="70" width="10.83203125" style="23"/>
    <col min="71" max="71" width="12.83203125" style="23" customWidth="1"/>
    <col min="72" max="75" width="10.83203125" style="23"/>
    <col min="76" max="76" width="15.83203125" style="23" customWidth="1"/>
    <col min="77" max="16384" width="10.83203125" style="23"/>
  </cols>
  <sheetData>
    <row r="1" spans="1:82" ht="19" x14ac:dyDescent="0.25">
      <c r="A1" s="36" t="s">
        <v>651</v>
      </c>
      <c r="B1" s="36"/>
      <c r="C1" s="36"/>
      <c r="D1" s="36"/>
    </row>
    <row r="2" spans="1:82" s="17" customFormat="1" x14ac:dyDescent="0.2">
      <c r="A2" s="15" t="s">
        <v>0</v>
      </c>
      <c r="B2" s="15"/>
      <c r="C2" s="15"/>
      <c r="D2" s="15" t="s">
        <v>10</v>
      </c>
      <c r="E2" s="15"/>
      <c r="F2" s="15"/>
      <c r="G2" s="15"/>
      <c r="H2" s="15"/>
      <c r="I2" s="15"/>
      <c r="J2" s="15" t="s">
        <v>11</v>
      </c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</row>
    <row r="3" spans="1:82" s="17" customFormat="1" x14ac:dyDescent="0.2">
      <c r="A3" s="16"/>
      <c r="B3" s="16"/>
      <c r="C3" s="16"/>
      <c r="D3" s="16"/>
      <c r="E3" s="15" t="s">
        <v>589</v>
      </c>
      <c r="F3" s="15"/>
      <c r="G3" s="15"/>
      <c r="H3" s="15"/>
      <c r="I3" s="15"/>
      <c r="J3" s="15" t="s">
        <v>590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 t="s">
        <v>591</v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8" t="s">
        <v>599</v>
      </c>
      <c r="AQ3" s="19"/>
      <c r="AR3" s="19"/>
      <c r="AS3" s="19"/>
      <c r="AT3" s="19"/>
      <c r="AU3" s="19"/>
      <c r="AV3" s="19"/>
      <c r="AW3" s="19"/>
      <c r="AX3" s="20"/>
      <c r="AY3" s="15" t="s">
        <v>592</v>
      </c>
      <c r="AZ3" s="15"/>
      <c r="BA3" s="15"/>
      <c r="BB3" s="15"/>
      <c r="BC3" s="15"/>
      <c r="BD3" s="15"/>
      <c r="BE3" s="15"/>
      <c r="BF3" s="15"/>
      <c r="BG3" s="15"/>
      <c r="BH3" s="15"/>
      <c r="BI3" s="15" t="s">
        <v>593</v>
      </c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9"/>
      <c r="BZ3" s="19"/>
      <c r="CA3" s="19"/>
      <c r="CB3" s="19"/>
      <c r="CC3" s="19"/>
      <c r="CD3" s="20"/>
    </row>
    <row r="4" spans="1:82" s="22" customFormat="1" x14ac:dyDescent="0.2">
      <c r="A4" s="17" t="s">
        <v>1</v>
      </c>
      <c r="B4" s="17" t="s">
        <v>2</v>
      </c>
      <c r="C4" s="17" t="s">
        <v>3</v>
      </c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12</v>
      </c>
      <c r="K4" s="17" t="s">
        <v>13</v>
      </c>
      <c r="L4" s="17" t="s">
        <v>632</v>
      </c>
      <c r="M4" s="17" t="s">
        <v>633</v>
      </c>
      <c r="N4" s="17" t="s">
        <v>634</v>
      </c>
      <c r="O4" s="17" t="s">
        <v>635</v>
      </c>
      <c r="P4" s="17" t="s">
        <v>636</v>
      </c>
      <c r="Q4" s="17" t="s">
        <v>637</v>
      </c>
      <c r="R4" s="17" t="s">
        <v>638</v>
      </c>
      <c r="S4" s="17" t="s">
        <v>639</v>
      </c>
      <c r="T4" s="17" t="s">
        <v>640</v>
      </c>
      <c r="U4" s="17" t="s">
        <v>641</v>
      </c>
      <c r="V4" s="17" t="s">
        <v>642</v>
      </c>
      <c r="W4" s="17" t="s">
        <v>643</v>
      </c>
      <c r="X4" s="17" t="s">
        <v>674</v>
      </c>
      <c r="Y4" s="17" t="s">
        <v>675</v>
      </c>
      <c r="Z4" s="17" t="s">
        <v>644</v>
      </c>
      <c r="AA4" s="17" t="s">
        <v>645</v>
      </c>
      <c r="AB4" s="17" t="s">
        <v>646</v>
      </c>
      <c r="AC4" s="17" t="s">
        <v>647</v>
      </c>
      <c r="AD4" s="17" t="s">
        <v>61</v>
      </c>
      <c r="AE4" s="17" t="s">
        <v>200</v>
      </c>
      <c r="AF4" s="17" t="s">
        <v>652</v>
      </c>
      <c r="AG4" s="17" t="s">
        <v>676</v>
      </c>
      <c r="AH4" s="17" t="s">
        <v>677</v>
      </c>
      <c r="AI4" s="17" t="s">
        <v>678</v>
      </c>
      <c r="AJ4" s="17" t="s">
        <v>679</v>
      </c>
      <c r="AK4" s="17" t="s">
        <v>680</v>
      </c>
      <c r="AL4" s="17" t="s">
        <v>617</v>
      </c>
      <c r="AM4" s="17" t="s">
        <v>681</v>
      </c>
      <c r="AN4" s="17" t="s">
        <v>19</v>
      </c>
      <c r="AO4" s="17" t="s">
        <v>20</v>
      </c>
      <c r="AP4" s="17" t="s">
        <v>659</v>
      </c>
      <c r="AQ4" s="17" t="s">
        <v>47</v>
      </c>
      <c r="AR4" s="17" t="s">
        <v>682</v>
      </c>
      <c r="AS4" s="17" t="s">
        <v>683</v>
      </c>
      <c r="AT4" s="17" t="s">
        <v>699</v>
      </c>
      <c r="AU4" s="17" t="s">
        <v>663</v>
      </c>
      <c r="AV4" s="17" t="s">
        <v>662</v>
      </c>
      <c r="AW4" s="17" t="s">
        <v>631</v>
      </c>
      <c r="AX4" s="17" t="s">
        <v>684</v>
      </c>
      <c r="AY4" s="17" t="s">
        <v>654</v>
      </c>
      <c r="AZ4" s="17" t="s">
        <v>655</v>
      </c>
      <c r="BA4" s="17" t="s">
        <v>656</v>
      </c>
      <c r="BB4" s="17" t="s">
        <v>685</v>
      </c>
      <c r="BC4" s="17" t="s">
        <v>686</v>
      </c>
      <c r="BD4" s="17" t="s">
        <v>658</v>
      </c>
      <c r="BE4" s="17" t="s">
        <v>657</v>
      </c>
      <c r="BF4" s="17" t="s">
        <v>687</v>
      </c>
      <c r="BG4" s="17" t="s">
        <v>688</v>
      </c>
      <c r="BH4" s="17" t="s">
        <v>689</v>
      </c>
      <c r="BI4" s="17" t="s">
        <v>690</v>
      </c>
      <c r="BJ4" s="17" t="s">
        <v>667</v>
      </c>
      <c r="BK4" s="17" t="s">
        <v>691</v>
      </c>
      <c r="BL4" s="17" t="s">
        <v>692</v>
      </c>
      <c r="BM4" s="17" t="s">
        <v>125</v>
      </c>
      <c r="BN4" s="17" t="s">
        <v>693</v>
      </c>
      <c r="BO4" s="17" t="s">
        <v>295</v>
      </c>
      <c r="BP4" s="17" t="s">
        <v>648</v>
      </c>
      <c r="BQ4" s="17" t="s">
        <v>411</v>
      </c>
      <c r="BR4" s="17" t="s">
        <v>672</v>
      </c>
      <c r="BS4" s="17" t="s">
        <v>673</v>
      </c>
      <c r="BT4" s="17" t="s">
        <v>665</v>
      </c>
      <c r="BU4" s="17" t="s">
        <v>666</v>
      </c>
      <c r="BV4" s="17" t="s">
        <v>670</v>
      </c>
      <c r="BW4" s="17" t="s">
        <v>694</v>
      </c>
      <c r="BX4" s="17" t="s">
        <v>25</v>
      </c>
      <c r="BY4" s="17" t="s">
        <v>310</v>
      </c>
      <c r="BZ4" s="17" t="s">
        <v>74</v>
      </c>
      <c r="CA4" s="17" t="s">
        <v>650</v>
      </c>
      <c r="CB4" s="17" t="s">
        <v>60</v>
      </c>
      <c r="CC4" s="17" t="s">
        <v>73</v>
      </c>
      <c r="CD4" s="17" t="s">
        <v>90</v>
      </c>
    </row>
    <row r="5" spans="1:82" x14ac:dyDescent="0.2">
      <c r="A5" s="23" t="s">
        <v>14</v>
      </c>
      <c r="B5" s="23" t="s">
        <v>15</v>
      </c>
      <c r="C5" s="23" t="s">
        <v>16</v>
      </c>
      <c r="D5" s="23" t="s">
        <v>297</v>
      </c>
      <c r="E5" s="23">
        <f>0.38+6.41</f>
        <v>6.79</v>
      </c>
      <c r="F5" s="23">
        <v>0.13</v>
      </c>
      <c r="G5" s="23">
        <v>2.74</v>
      </c>
      <c r="H5" s="23">
        <v>2.19</v>
      </c>
      <c r="I5" s="23">
        <f>0.13+1.42</f>
        <v>1.5499999999999998</v>
      </c>
      <c r="AL5" s="23">
        <v>6</v>
      </c>
      <c r="AM5" s="23">
        <v>0.03</v>
      </c>
      <c r="AN5" s="23">
        <v>7</v>
      </c>
      <c r="AO5" s="23" t="s">
        <v>21</v>
      </c>
    </row>
    <row r="6" spans="1:82" x14ac:dyDescent="0.2">
      <c r="A6" s="23" t="s">
        <v>26</v>
      </c>
      <c r="B6" s="23" t="s">
        <v>28</v>
      </c>
      <c r="C6" s="23" t="s">
        <v>29</v>
      </c>
      <c r="D6" s="23" t="s">
        <v>36</v>
      </c>
      <c r="E6" s="23">
        <v>0.2</v>
      </c>
      <c r="G6" s="23">
        <v>0.18</v>
      </c>
      <c r="I6" s="23">
        <v>0.01</v>
      </c>
      <c r="AP6" s="23">
        <v>1</v>
      </c>
    </row>
    <row r="7" spans="1:82" x14ac:dyDescent="0.2">
      <c r="A7" s="23">
        <v>131657</v>
      </c>
      <c r="B7" s="23" t="s">
        <v>27</v>
      </c>
      <c r="C7" s="23" t="s">
        <v>23</v>
      </c>
      <c r="D7" s="23" t="s">
        <v>297</v>
      </c>
      <c r="E7" s="23">
        <v>0.01</v>
      </c>
      <c r="F7" s="23">
        <v>0.01</v>
      </c>
    </row>
    <row r="8" spans="1:82" x14ac:dyDescent="0.2">
      <c r="A8" s="23" t="s">
        <v>31</v>
      </c>
      <c r="B8" s="23" t="s">
        <v>30</v>
      </c>
      <c r="C8" s="23" t="s">
        <v>32</v>
      </c>
      <c r="D8" s="23" t="s">
        <v>297</v>
      </c>
      <c r="E8" s="23">
        <f>0.11+1.42</f>
        <v>1.53</v>
      </c>
      <c r="F8" s="23">
        <f>0.66+0.06</f>
        <v>0.72</v>
      </c>
      <c r="G8" s="23">
        <v>0.79</v>
      </c>
      <c r="H8" s="23">
        <v>0.01</v>
      </c>
      <c r="I8" s="23">
        <v>0.01</v>
      </c>
    </row>
    <row r="9" spans="1:82" x14ac:dyDescent="0.2">
      <c r="A9" s="23">
        <v>131660</v>
      </c>
      <c r="B9" s="23" t="s">
        <v>30</v>
      </c>
      <c r="C9" s="23" t="s">
        <v>23</v>
      </c>
      <c r="D9" s="23" t="s">
        <v>297</v>
      </c>
      <c r="E9" s="23">
        <v>0.15</v>
      </c>
      <c r="F9" s="23">
        <v>0</v>
      </c>
      <c r="G9" s="23">
        <v>7.0000000000000007E-2</v>
      </c>
      <c r="H9" s="23">
        <v>0.08</v>
      </c>
      <c r="I9" s="23">
        <v>0.01</v>
      </c>
    </row>
    <row r="10" spans="1:82" x14ac:dyDescent="0.2">
      <c r="A10" s="23" t="s">
        <v>33</v>
      </c>
      <c r="B10" s="23" t="s">
        <v>34</v>
      </c>
      <c r="C10" s="23" t="s">
        <v>35</v>
      </c>
      <c r="D10" s="23" t="s">
        <v>298</v>
      </c>
      <c r="E10" s="23">
        <f>0.21+0.95</f>
        <v>1.1599999999999999</v>
      </c>
      <c r="F10" s="23">
        <f>0.08+0.17</f>
        <v>0.25</v>
      </c>
      <c r="G10" s="23">
        <v>0.64</v>
      </c>
      <c r="H10" s="23">
        <v>0.22</v>
      </c>
      <c r="I10" s="23">
        <v>0.01</v>
      </c>
      <c r="AL10" s="23">
        <v>9</v>
      </c>
      <c r="AM10" s="23">
        <v>0.01</v>
      </c>
      <c r="AN10" s="23">
        <v>1</v>
      </c>
      <c r="AO10" s="23" t="s">
        <v>21</v>
      </c>
      <c r="AP10" s="23">
        <v>3</v>
      </c>
    </row>
    <row r="11" spans="1:82" x14ac:dyDescent="0.2">
      <c r="A11" s="23" t="s">
        <v>564</v>
      </c>
      <c r="B11" s="23" t="s">
        <v>22</v>
      </c>
      <c r="C11" s="23" t="s">
        <v>16</v>
      </c>
      <c r="D11" s="23" t="s">
        <v>300</v>
      </c>
      <c r="E11" s="23">
        <f>4.86+0.9+4.51</f>
        <v>10.27</v>
      </c>
      <c r="F11" s="23">
        <f>0.8</f>
        <v>0.8</v>
      </c>
      <c r="G11" s="23">
        <v>4.7</v>
      </c>
      <c r="H11" s="23">
        <f>1.32+1.63</f>
        <v>2.95</v>
      </c>
      <c r="I11" s="23">
        <f>0.78+0.92</f>
        <v>1.7000000000000002</v>
      </c>
      <c r="L11" s="23">
        <v>3</v>
      </c>
      <c r="M11" s="23" t="s">
        <v>21</v>
      </c>
      <c r="Z11" s="23">
        <v>5</v>
      </c>
      <c r="AA11" s="23">
        <v>0.04</v>
      </c>
      <c r="AB11" s="23">
        <v>1</v>
      </c>
      <c r="AC11" s="23">
        <v>0.04</v>
      </c>
      <c r="BS11" s="23">
        <v>1</v>
      </c>
      <c r="CA11" s="23">
        <v>2</v>
      </c>
    </row>
    <row r="12" spans="1:82" x14ac:dyDescent="0.2">
      <c r="A12" s="23" t="s">
        <v>565</v>
      </c>
      <c r="B12" s="23" t="s">
        <v>62</v>
      </c>
      <c r="C12" s="23" t="s">
        <v>59</v>
      </c>
      <c r="D12" s="23" t="s">
        <v>297</v>
      </c>
      <c r="E12" s="23">
        <v>8.19</v>
      </c>
      <c r="F12" s="23">
        <v>0.56999999999999995</v>
      </c>
      <c r="G12" s="23">
        <v>4.54</v>
      </c>
      <c r="H12" s="23">
        <v>1.32</v>
      </c>
      <c r="I12" s="23">
        <v>1.49</v>
      </c>
      <c r="J12" s="23">
        <v>14</v>
      </c>
      <c r="K12" s="23">
        <v>7.0000000000000007E-2</v>
      </c>
      <c r="R12" s="23">
        <v>9</v>
      </c>
      <c r="S12" s="23">
        <v>0.01</v>
      </c>
      <c r="AD12" s="23">
        <v>4</v>
      </c>
      <c r="AE12" s="23">
        <v>0.05</v>
      </c>
      <c r="AF12" s="23">
        <v>5</v>
      </c>
      <c r="AG12" s="23">
        <v>0.01</v>
      </c>
      <c r="AL12" s="23">
        <v>41</v>
      </c>
      <c r="AM12" s="23">
        <v>0.08</v>
      </c>
      <c r="BR12" s="23">
        <v>1</v>
      </c>
      <c r="CA12" s="23">
        <v>7</v>
      </c>
      <c r="CB12" s="23">
        <v>1</v>
      </c>
    </row>
    <row r="13" spans="1:82" x14ac:dyDescent="0.2">
      <c r="A13" s="23" t="s">
        <v>64</v>
      </c>
      <c r="B13" s="23" t="s">
        <v>62</v>
      </c>
      <c r="C13" s="23" t="s">
        <v>63</v>
      </c>
      <c r="D13" s="23" t="s">
        <v>297</v>
      </c>
      <c r="E13" s="23">
        <v>20</v>
      </c>
      <c r="F13" s="23">
        <v>0.95</v>
      </c>
      <c r="G13" s="23">
        <v>7.38</v>
      </c>
      <c r="H13" s="23">
        <v>8.7799999999999994</v>
      </c>
      <c r="I13" s="23">
        <v>2.5</v>
      </c>
      <c r="J13" s="23">
        <v>13</v>
      </c>
      <c r="K13" s="23">
        <v>0.04</v>
      </c>
      <c r="R13" s="23">
        <v>11</v>
      </c>
      <c r="S13" s="23">
        <v>0.03</v>
      </c>
      <c r="AB13" s="23">
        <v>7</v>
      </c>
      <c r="AC13" s="23">
        <v>0.14000000000000001</v>
      </c>
      <c r="AD13" s="23">
        <v>14</v>
      </c>
      <c r="AE13" s="23">
        <v>0.28999999999999998</v>
      </c>
      <c r="AL13" s="23">
        <v>29</v>
      </c>
      <c r="AM13" s="23">
        <v>0.08</v>
      </c>
      <c r="AV13" s="23">
        <v>1</v>
      </c>
      <c r="AZ13" s="23">
        <v>1</v>
      </c>
      <c r="BT13" s="23">
        <v>1</v>
      </c>
      <c r="CA13" s="23">
        <v>26</v>
      </c>
    </row>
    <row r="14" spans="1:82" x14ac:dyDescent="0.2">
      <c r="A14" s="23" t="s">
        <v>65</v>
      </c>
      <c r="B14" s="23" t="s">
        <v>62</v>
      </c>
      <c r="C14" s="23" t="s">
        <v>66</v>
      </c>
      <c r="D14" s="23" t="s">
        <v>297</v>
      </c>
      <c r="E14" s="23">
        <v>29.65</v>
      </c>
      <c r="F14" s="23">
        <v>0.53</v>
      </c>
      <c r="G14" s="23">
        <v>11.03</v>
      </c>
      <c r="H14" s="23">
        <v>13.99</v>
      </c>
      <c r="I14" s="23">
        <v>3.51</v>
      </c>
      <c r="J14" s="23">
        <v>15</v>
      </c>
      <c r="K14" s="23">
        <v>0.17</v>
      </c>
      <c r="R14" s="23">
        <v>23</v>
      </c>
      <c r="S14" s="23">
        <v>0.05</v>
      </c>
      <c r="Z14" s="23">
        <v>30</v>
      </c>
      <c r="AA14" s="23">
        <v>0.53</v>
      </c>
      <c r="AF14" s="23">
        <v>2</v>
      </c>
      <c r="AG14" s="23" t="s">
        <v>21</v>
      </c>
      <c r="AL14" s="23">
        <v>28</v>
      </c>
      <c r="AM14" s="23">
        <v>0.09</v>
      </c>
      <c r="AP14" s="23">
        <v>11</v>
      </c>
      <c r="BB14" s="23">
        <v>1</v>
      </c>
      <c r="BC14" s="23">
        <v>1</v>
      </c>
      <c r="BY14" s="23">
        <v>1</v>
      </c>
      <c r="CA14" s="23">
        <v>2</v>
      </c>
      <c r="CB14" s="23">
        <v>11</v>
      </c>
    </row>
    <row r="15" spans="1:82" x14ac:dyDescent="0.2">
      <c r="A15" s="23" t="s">
        <v>68</v>
      </c>
      <c r="B15" s="23" t="s">
        <v>22</v>
      </c>
      <c r="C15" s="23" t="s">
        <v>69</v>
      </c>
      <c r="D15" s="23" t="s">
        <v>297</v>
      </c>
      <c r="E15" s="23">
        <f>28.76+1.15</f>
        <v>29.91</v>
      </c>
      <c r="F15" s="23">
        <v>1.3</v>
      </c>
      <c r="G15" s="23">
        <f>15.65+0.48</f>
        <v>16.13</v>
      </c>
      <c r="H15" s="23">
        <v>7.77</v>
      </c>
      <c r="I15" s="23">
        <f>3.52+0.37</f>
        <v>3.89</v>
      </c>
      <c r="J15" s="23">
        <v>16</v>
      </c>
      <c r="K15" s="23">
        <v>0.05</v>
      </c>
      <c r="Z15" s="23">
        <v>17</v>
      </c>
      <c r="AA15" s="23">
        <v>0.37</v>
      </c>
      <c r="AD15" s="23">
        <v>11</v>
      </c>
      <c r="AE15" s="23">
        <v>7.0000000000000007E-2</v>
      </c>
      <c r="AF15" s="23">
        <v>3</v>
      </c>
      <c r="AG15" s="23">
        <v>0.02</v>
      </c>
      <c r="AL15" s="23">
        <v>6</v>
      </c>
      <c r="AM15" s="23">
        <v>0.01</v>
      </c>
      <c r="AX15" s="23">
        <v>1</v>
      </c>
      <c r="BJ15" s="23">
        <v>1</v>
      </c>
      <c r="BU15" s="23">
        <v>3</v>
      </c>
      <c r="CA15" s="23">
        <v>6</v>
      </c>
      <c r="CB15" s="23">
        <v>9</v>
      </c>
    </row>
    <row r="16" spans="1:82" x14ac:dyDescent="0.2">
      <c r="A16" s="23" t="s">
        <v>70</v>
      </c>
      <c r="B16" s="23" t="s">
        <v>62</v>
      </c>
      <c r="C16" s="23" t="s">
        <v>32</v>
      </c>
      <c r="D16" s="23" t="s">
        <v>297</v>
      </c>
      <c r="E16" s="23">
        <f>0.25+1.76</f>
        <v>2.0099999999999998</v>
      </c>
      <c r="F16" s="23">
        <v>0.28000000000000003</v>
      </c>
      <c r="G16" s="23">
        <v>0.66</v>
      </c>
      <c r="H16" s="23">
        <v>0.41</v>
      </c>
      <c r="I16" s="23">
        <v>0.6</v>
      </c>
      <c r="AL16" s="23">
        <v>1</v>
      </c>
      <c r="AM16" s="23">
        <v>0.01</v>
      </c>
      <c r="BR16" s="23">
        <v>1</v>
      </c>
      <c r="CB16" s="23">
        <v>7</v>
      </c>
    </row>
    <row r="17" spans="1:82" x14ac:dyDescent="0.2">
      <c r="A17" s="23" t="s">
        <v>71</v>
      </c>
      <c r="B17" s="23" t="s">
        <v>62</v>
      </c>
      <c r="C17" s="23" t="s">
        <v>72</v>
      </c>
      <c r="D17" s="23" t="s">
        <v>297</v>
      </c>
      <c r="E17" s="23">
        <f>38.85+0.62</f>
        <v>39.47</v>
      </c>
      <c r="F17" s="23">
        <f>0.17+0.94</f>
        <v>1.1099999999999999</v>
      </c>
      <c r="G17" s="23">
        <f>0.19+10.5</f>
        <v>10.69</v>
      </c>
      <c r="H17" s="23">
        <f>19.84+0.29</f>
        <v>20.13</v>
      </c>
      <c r="I17" s="23">
        <f>7.56</f>
        <v>7.56</v>
      </c>
      <c r="J17" s="23">
        <v>16</v>
      </c>
      <c r="K17" s="23">
        <v>0.08</v>
      </c>
      <c r="Z17" s="23">
        <v>7</v>
      </c>
      <c r="AA17" s="23">
        <v>0.1</v>
      </c>
      <c r="AF17" s="23">
        <v>4</v>
      </c>
      <c r="AG17" s="23" t="s">
        <v>21</v>
      </c>
      <c r="BU17" s="23">
        <v>6</v>
      </c>
      <c r="BZ17" s="23">
        <v>2</v>
      </c>
      <c r="CA17" s="23">
        <v>1</v>
      </c>
      <c r="CB17" s="23">
        <v>2</v>
      </c>
      <c r="CC17" s="23">
        <v>1</v>
      </c>
    </row>
    <row r="18" spans="1:82" x14ac:dyDescent="0.2">
      <c r="A18" s="23" t="s">
        <v>24</v>
      </c>
      <c r="B18" s="23" t="s">
        <v>22</v>
      </c>
      <c r="C18" s="23" t="s">
        <v>23</v>
      </c>
      <c r="D18" s="23" t="s">
        <v>297</v>
      </c>
      <c r="E18" s="23">
        <v>1.46</v>
      </c>
      <c r="F18" s="23">
        <v>0.19</v>
      </c>
      <c r="G18" s="23">
        <v>0.6</v>
      </c>
      <c r="H18" s="23">
        <v>0.41</v>
      </c>
      <c r="I18" s="23">
        <v>0.21</v>
      </c>
      <c r="Z18" s="23">
        <v>6</v>
      </c>
      <c r="AA18" s="23">
        <v>0.04</v>
      </c>
      <c r="AL18" s="23">
        <v>5</v>
      </c>
      <c r="AM18" s="23" t="s">
        <v>21</v>
      </c>
      <c r="AN18" s="23">
        <v>2</v>
      </c>
      <c r="AO18" s="23" t="s">
        <v>21</v>
      </c>
      <c r="AP18" s="23">
        <v>1</v>
      </c>
      <c r="BX18" s="23">
        <v>1</v>
      </c>
    </row>
    <row r="19" spans="1:82" x14ac:dyDescent="0.2">
      <c r="A19" s="23" t="s">
        <v>75</v>
      </c>
      <c r="B19" s="23" t="s">
        <v>76</v>
      </c>
      <c r="C19" s="23" t="s">
        <v>29</v>
      </c>
      <c r="D19" s="23" t="s">
        <v>297</v>
      </c>
      <c r="E19" s="23">
        <f>12.2+0.98</f>
        <v>13.18</v>
      </c>
      <c r="F19" s="23">
        <f>0.19+0.93</f>
        <v>1.1200000000000001</v>
      </c>
      <c r="G19" s="23">
        <f>3.91+0.31</f>
        <v>4.22</v>
      </c>
      <c r="H19" s="23">
        <f>0.15+5.96</f>
        <v>6.11</v>
      </c>
      <c r="I19" s="23">
        <f>0.26+1.16+1.52</f>
        <v>2.94</v>
      </c>
      <c r="J19" s="23">
        <v>2</v>
      </c>
      <c r="K19" s="23">
        <v>0.01</v>
      </c>
      <c r="Z19" s="23">
        <v>26</v>
      </c>
      <c r="AA19" s="23">
        <v>0.21</v>
      </c>
      <c r="AL19" s="23">
        <v>10</v>
      </c>
      <c r="AM19" s="23">
        <v>0.04</v>
      </c>
      <c r="AQ19" s="23">
        <v>3</v>
      </c>
      <c r="AZ19" s="23">
        <v>1</v>
      </c>
      <c r="CA19" s="23">
        <v>4</v>
      </c>
    </row>
    <row r="20" spans="1:82" x14ac:dyDescent="0.2">
      <c r="A20" s="23" t="s">
        <v>77</v>
      </c>
      <c r="B20" s="23" t="s">
        <v>76</v>
      </c>
      <c r="C20" s="23" t="s">
        <v>59</v>
      </c>
      <c r="D20" s="23" t="s">
        <v>297</v>
      </c>
      <c r="E20" s="23">
        <f>1.09+11.73</f>
        <v>12.82</v>
      </c>
      <c r="F20" s="23">
        <f>1.37+0.73</f>
        <v>2.1</v>
      </c>
      <c r="G20" s="23">
        <f>4.47</f>
        <v>4.47</v>
      </c>
      <c r="H20" s="23">
        <v>3.98</v>
      </c>
      <c r="I20" s="23">
        <f>0.03+0.99+1.94</f>
        <v>2.96</v>
      </c>
      <c r="J20" s="23">
        <v>11</v>
      </c>
      <c r="K20" s="23" t="s">
        <v>21</v>
      </c>
      <c r="Z20" s="23">
        <v>12</v>
      </c>
      <c r="AA20" s="23">
        <v>0.2</v>
      </c>
      <c r="AL20" s="23">
        <v>3</v>
      </c>
      <c r="AM20" s="23">
        <v>0.01</v>
      </c>
      <c r="AQ20" s="23">
        <v>2</v>
      </c>
      <c r="AX20" s="23">
        <v>1</v>
      </c>
      <c r="AY20" s="23">
        <v>1</v>
      </c>
      <c r="CA20" s="23">
        <v>2</v>
      </c>
      <c r="CB20" s="23">
        <v>1</v>
      </c>
    </row>
    <row r="21" spans="1:82" x14ac:dyDescent="0.2">
      <c r="A21" s="23" t="s">
        <v>78</v>
      </c>
      <c r="B21" s="23" t="s">
        <v>79</v>
      </c>
      <c r="C21" s="23" t="s">
        <v>80</v>
      </c>
      <c r="D21" s="23" t="s">
        <v>297</v>
      </c>
      <c r="E21" s="23">
        <f>1.73+12.19+24.43</f>
        <v>38.35</v>
      </c>
      <c r="F21" s="23">
        <f>1.44+0.56</f>
        <v>2</v>
      </c>
      <c r="G21" s="23">
        <f>9.17+0.48</f>
        <v>9.65</v>
      </c>
      <c r="H21" s="23">
        <f>10.81+12.19</f>
        <v>23</v>
      </c>
      <c r="I21" s="23">
        <f>2.47+0.56</f>
        <v>3.0300000000000002</v>
      </c>
      <c r="J21" s="23">
        <v>5</v>
      </c>
      <c r="K21" s="23">
        <v>0.06</v>
      </c>
      <c r="R21" s="23">
        <v>6</v>
      </c>
      <c r="S21" s="23">
        <v>7.0000000000000007E-2</v>
      </c>
      <c r="Z21" s="23">
        <v>28</v>
      </c>
      <c r="AA21" s="23">
        <v>0.34</v>
      </c>
      <c r="AF21" s="23">
        <v>4</v>
      </c>
      <c r="AG21" s="23">
        <v>0.02</v>
      </c>
      <c r="AL21" s="23">
        <v>7</v>
      </c>
      <c r="AM21" s="23">
        <v>0.03</v>
      </c>
      <c r="BJ21" s="23">
        <v>1</v>
      </c>
      <c r="BV21" s="23">
        <v>1</v>
      </c>
      <c r="CA21" s="23">
        <v>10</v>
      </c>
      <c r="CB21" s="23">
        <v>1</v>
      </c>
    </row>
    <row r="22" spans="1:82" x14ac:dyDescent="0.2">
      <c r="A22" s="23" t="s">
        <v>83</v>
      </c>
      <c r="B22" s="23" t="s">
        <v>81</v>
      </c>
      <c r="C22" s="23" t="s">
        <v>59</v>
      </c>
      <c r="D22" s="23" t="s">
        <v>297</v>
      </c>
      <c r="E22" s="23">
        <v>6.65</v>
      </c>
      <c r="F22" s="23">
        <f>0.77+0.29</f>
        <v>1.06</v>
      </c>
      <c r="G22" s="23">
        <v>3.26</v>
      </c>
      <c r="H22" s="23">
        <v>1.25</v>
      </c>
      <c r="I22" s="23">
        <v>0.87</v>
      </c>
      <c r="J22" s="23">
        <v>4</v>
      </c>
      <c r="K22" s="23">
        <v>0.03</v>
      </c>
      <c r="Z22" s="23">
        <v>10</v>
      </c>
      <c r="AA22" s="23">
        <v>0.16</v>
      </c>
      <c r="AF22" s="23">
        <v>1</v>
      </c>
      <c r="AG22" s="23" t="s">
        <v>21</v>
      </c>
      <c r="AL22" s="23">
        <v>2</v>
      </c>
      <c r="AM22" s="23" t="s">
        <v>21</v>
      </c>
      <c r="AZ22" s="23">
        <v>1</v>
      </c>
      <c r="BJ22" s="23">
        <v>3</v>
      </c>
      <c r="CA22" s="23">
        <v>1</v>
      </c>
    </row>
    <row r="23" spans="1:82" x14ac:dyDescent="0.2">
      <c r="A23" s="23" t="s">
        <v>82</v>
      </c>
      <c r="B23" s="23" t="s">
        <v>81</v>
      </c>
      <c r="C23" s="23" t="s">
        <v>63</v>
      </c>
      <c r="D23" s="23" t="s">
        <v>297</v>
      </c>
      <c r="E23" s="23">
        <v>3.9</v>
      </c>
      <c r="F23" s="23">
        <v>0.32</v>
      </c>
      <c r="G23" s="23">
        <v>1.4</v>
      </c>
      <c r="H23" s="23">
        <v>1.37</v>
      </c>
      <c r="I23" s="23">
        <v>0.67</v>
      </c>
      <c r="J23" s="23">
        <v>2</v>
      </c>
      <c r="K23" s="23" t="s">
        <v>21</v>
      </c>
      <c r="Z23" s="23">
        <v>11</v>
      </c>
      <c r="AA23" s="23">
        <v>0.08</v>
      </c>
      <c r="AF23" s="23">
        <v>1</v>
      </c>
      <c r="AG23" s="23" t="s">
        <v>21</v>
      </c>
      <c r="CA23" s="23">
        <v>1</v>
      </c>
    </row>
    <row r="24" spans="1:82" x14ac:dyDescent="0.2">
      <c r="A24" s="23" t="s">
        <v>84</v>
      </c>
      <c r="B24" s="23" t="s">
        <v>79</v>
      </c>
      <c r="C24" s="23" t="s">
        <v>66</v>
      </c>
      <c r="D24" s="23" t="s">
        <v>297</v>
      </c>
      <c r="E24" s="23">
        <v>15.98</v>
      </c>
      <c r="F24" s="23">
        <f>0.35+0.94</f>
        <v>1.29</v>
      </c>
      <c r="G24" s="23">
        <f>6.13+0.59</f>
        <v>6.72</v>
      </c>
      <c r="H24" s="23">
        <v>5.57</v>
      </c>
      <c r="I24" s="23">
        <v>1.83</v>
      </c>
      <c r="J24" s="23">
        <v>8</v>
      </c>
      <c r="K24" s="23">
        <v>0.06</v>
      </c>
      <c r="Z24" s="23">
        <v>10</v>
      </c>
      <c r="AA24" s="23">
        <v>0.02</v>
      </c>
      <c r="AB24" s="23">
        <v>9</v>
      </c>
      <c r="AC24" s="23">
        <v>0.17</v>
      </c>
      <c r="AD24" s="23">
        <v>10</v>
      </c>
      <c r="AE24" s="23">
        <v>0.06</v>
      </c>
      <c r="AF24" s="23">
        <v>6</v>
      </c>
      <c r="AG24" s="23">
        <v>0.1</v>
      </c>
      <c r="AL24" s="23">
        <v>2</v>
      </c>
      <c r="AM24" s="23" t="s">
        <v>21</v>
      </c>
      <c r="AQ24" s="23">
        <v>1</v>
      </c>
      <c r="AR24" s="23">
        <v>1</v>
      </c>
      <c r="AT24" s="23">
        <v>1</v>
      </c>
      <c r="BE24" s="23">
        <v>1</v>
      </c>
      <c r="BJ24" s="23">
        <v>1</v>
      </c>
      <c r="BR24" s="23">
        <v>1</v>
      </c>
      <c r="CA24" s="23">
        <v>9</v>
      </c>
      <c r="CB24" s="23">
        <v>2</v>
      </c>
    </row>
    <row r="25" spans="1:82" x14ac:dyDescent="0.2">
      <c r="A25" s="23" t="s">
        <v>85</v>
      </c>
      <c r="B25" s="23" t="s">
        <v>86</v>
      </c>
      <c r="C25" s="23" t="s">
        <v>69</v>
      </c>
      <c r="D25" s="23" t="s">
        <v>297</v>
      </c>
      <c r="E25" s="23">
        <f>0.36+4.33+3.62</f>
        <v>8.31</v>
      </c>
      <c r="F25" s="23">
        <v>3.63</v>
      </c>
      <c r="G25" s="23">
        <v>1.28</v>
      </c>
      <c r="H25" s="23">
        <v>1.42</v>
      </c>
      <c r="I25" s="23">
        <v>1.68</v>
      </c>
      <c r="J25" s="23">
        <v>2</v>
      </c>
      <c r="K25" s="23" t="s">
        <v>21</v>
      </c>
      <c r="R25" s="23">
        <v>1</v>
      </c>
      <c r="S25" s="23" t="s">
        <v>21</v>
      </c>
      <c r="Z25" s="23">
        <v>13</v>
      </c>
      <c r="AA25" s="23">
        <v>0.11</v>
      </c>
      <c r="AB25" s="25">
        <v>3</v>
      </c>
      <c r="AC25" s="23">
        <v>0.06</v>
      </c>
      <c r="AD25" s="23">
        <v>14</v>
      </c>
      <c r="AE25" s="23">
        <v>0.05</v>
      </c>
      <c r="AF25" s="23">
        <v>3</v>
      </c>
      <c r="AG25" s="23">
        <v>0.01</v>
      </c>
      <c r="AL25" s="27">
        <v>1</v>
      </c>
      <c r="AM25" s="23" t="s">
        <v>21</v>
      </c>
      <c r="AN25" s="23">
        <v>1</v>
      </c>
      <c r="AO25" s="23" t="s">
        <v>21</v>
      </c>
      <c r="AR25" s="25"/>
      <c r="AY25" s="23">
        <v>1</v>
      </c>
      <c r="BF25" s="25"/>
      <c r="BJ25" s="23">
        <v>1</v>
      </c>
      <c r="BP25" s="25"/>
      <c r="BQ25" s="25"/>
      <c r="BU25" s="23">
        <v>1</v>
      </c>
    </row>
    <row r="26" spans="1:82" x14ac:dyDescent="0.2">
      <c r="A26" s="23" t="s">
        <v>87</v>
      </c>
      <c r="B26" s="23" t="s">
        <v>86</v>
      </c>
      <c r="C26" s="23" t="s">
        <v>72</v>
      </c>
      <c r="D26" s="23" t="s">
        <v>297</v>
      </c>
      <c r="E26" s="23">
        <f>1.05+24.41</f>
        <v>25.46</v>
      </c>
      <c r="F26" s="23">
        <f>0.43+1.58</f>
        <v>2.0100000000000002</v>
      </c>
      <c r="G26" s="23">
        <f>8.69+0.37</f>
        <v>9.0599999999999987</v>
      </c>
      <c r="H26" s="23">
        <v>10.99</v>
      </c>
      <c r="I26" s="23">
        <v>2.95</v>
      </c>
      <c r="J26" s="23">
        <v>6</v>
      </c>
      <c r="K26" s="23">
        <v>0.01</v>
      </c>
      <c r="Z26" s="23">
        <v>21</v>
      </c>
      <c r="AA26" s="23">
        <v>0.14000000000000001</v>
      </c>
      <c r="AB26" s="23">
        <v>12</v>
      </c>
      <c r="AC26" s="23">
        <v>0.3</v>
      </c>
      <c r="AD26" s="23">
        <v>9</v>
      </c>
      <c r="AE26" s="23">
        <v>0.03</v>
      </c>
      <c r="AF26" s="23">
        <v>6</v>
      </c>
      <c r="AG26" s="23" t="s">
        <v>21</v>
      </c>
      <c r="AL26" s="23">
        <v>1</v>
      </c>
      <c r="AM26" s="23" t="s">
        <v>21</v>
      </c>
      <c r="AS26" s="23">
        <v>1</v>
      </c>
      <c r="AX26" s="23">
        <v>1</v>
      </c>
      <c r="BN26" s="23">
        <v>1</v>
      </c>
      <c r="CA26" s="23">
        <v>2</v>
      </c>
      <c r="CB26" s="23">
        <v>1</v>
      </c>
    </row>
    <row r="27" spans="1:82" x14ac:dyDescent="0.2">
      <c r="A27" s="23" t="s">
        <v>88</v>
      </c>
      <c r="B27" s="23" t="s">
        <v>79</v>
      </c>
      <c r="C27" s="23" t="s">
        <v>89</v>
      </c>
      <c r="D27" s="23" t="s">
        <v>297</v>
      </c>
      <c r="E27" s="23">
        <f>26.67+2.47</f>
        <v>29.14</v>
      </c>
      <c r="F27" s="23">
        <f>0.97+2.95</f>
        <v>3.92</v>
      </c>
      <c r="G27" s="23">
        <f>8.31+0.74</f>
        <v>9.0500000000000007</v>
      </c>
      <c r="H27" s="23">
        <v>11.35</v>
      </c>
      <c r="I27" s="23">
        <f>3.56+0.71</f>
        <v>4.2699999999999996</v>
      </c>
      <c r="J27" s="23">
        <v>12</v>
      </c>
      <c r="K27" s="23">
        <v>7.0000000000000007E-2</v>
      </c>
      <c r="R27" s="23">
        <v>5</v>
      </c>
      <c r="S27" s="23">
        <v>0.03</v>
      </c>
      <c r="Z27" s="23">
        <v>22</v>
      </c>
      <c r="AA27" s="23">
        <v>0.25</v>
      </c>
      <c r="AB27" s="23">
        <v>6</v>
      </c>
      <c r="AC27" s="23">
        <v>0.12</v>
      </c>
      <c r="AD27" s="23">
        <v>15</v>
      </c>
      <c r="AE27" s="23">
        <v>0.04</v>
      </c>
      <c r="AL27" s="23">
        <v>3</v>
      </c>
      <c r="AM27" s="23" t="s">
        <v>21</v>
      </c>
      <c r="AP27" s="23">
        <v>1</v>
      </c>
      <c r="BH27" s="23">
        <v>1</v>
      </c>
      <c r="CA27" s="23">
        <v>5</v>
      </c>
      <c r="CB27" s="23">
        <v>7</v>
      </c>
      <c r="CD27" s="23">
        <v>150</v>
      </c>
    </row>
    <row r="28" spans="1:82" x14ac:dyDescent="0.2">
      <c r="A28" s="23" t="s">
        <v>91</v>
      </c>
      <c r="B28" s="23" t="s">
        <v>86</v>
      </c>
      <c r="C28" s="23" t="s">
        <v>92</v>
      </c>
      <c r="D28" s="23" t="s">
        <v>297</v>
      </c>
      <c r="E28" s="23">
        <f>0.86+18.83</f>
        <v>19.689999999999998</v>
      </c>
      <c r="F28" s="23">
        <f>2.11</f>
        <v>2.11</v>
      </c>
      <c r="G28" s="23">
        <v>6.84</v>
      </c>
      <c r="H28" s="23">
        <v>7.83</v>
      </c>
      <c r="I28" s="23">
        <v>2.35</v>
      </c>
      <c r="J28" s="23">
        <v>9</v>
      </c>
      <c r="K28" s="23">
        <v>0.04</v>
      </c>
      <c r="R28" s="23">
        <v>5</v>
      </c>
      <c r="S28" s="23">
        <v>0.02</v>
      </c>
      <c r="Z28" s="23">
        <v>13</v>
      </c>
      <c r="AA28" s="23">
        <v>7.0000000000000007E-2</v>
      </c>
      <c r="AB28" s="23">
        <v>3</v>
      </c>
      <c r="AC28" s="23">
        <v>0.11</v>
      </c>
      <c r="AD28" s="23">
        <v>2</v>
      </c>
      <c r="AE28" s="23" t="s">
        <v>21</v>
      </c>
      <c r="AF28" s="23">
        <v>3</v>
      </c>
      <c r="AG28" s="23">
        <v>0.01</v>
      </c>
      <c r="AY28" s="23">
        <v>1</v>
      </c>
      <c r="BF28" s="23">
        <v>1</v>
      </c>
      <c r="BU28" s="23">
        <v>1</v>
      </c>
      <c r="BY28" s="23">
        <v>2</v>
      </c>
      <c r="CA28" s="23">
        <v>2</v>
      </c>
      <c r="CB28" s="23">
        <v>5</v>
      </c>
      <c r="CD28" s="23">
        <v>15</v>
      </c>
    </row>
    <row r="29" spans="1:82" x14ac:dyDescent="0.2">
      <c r="A29" s="23" t="s">
        <v>93</v>
      </c>
      <c r="B29" s="23" t="s">
        <v>86</v>
      </c>
      <c r="C29" s="23" t="s">
        <v>92</v>
      </c>
      <c r="D29" s="23" t="s">
        <v>297</v>
      </c>
      <c r="E29" s="23">
        <f>9.18+1.77</f>
        <v>10.95</v>
      </c>
      <c r="F29" s="23">
        <v>2.0499999999999998</v>
      </c>
      <c r="G29" s="23">
        <v>3.8</v>
      </c>
      <c r="H29" s="23">
        <v>2.54</v>
      </c>
      <c r="I29" s="23">
        <v>1.94</v>
      </c>
      <c r="J29" s="23">
        <v>8</v>
      </c>
      <c r="K29" s="23">
        <v>0.01</v>
      </c>
      <c r="R29" s="23">
        <v>3</v>
      </c>
      <c r="S29" s="23">
        <v>0.01</v>
      </c>
      <c r="Z29" s="23">
        <v>40</v>
      </c>
      <c r="AA29" s="23">
        <v>0.31</v>
      </c>
      <c r="AB29" s="23">
        <v>6</v>
      </c>
      <c r="AC29" s="23">
        <v>0.17</v>
      </c>
      <c r="AD29" s="23">
        <v>3</v>
      </c>
      <c r="AE29" s="23" t="s">
        <v>21</v>
      </c>
      <c r="AF29" s="23">
        <v>1</v>
      </c>
      <c r="AG29" s="23" t="s">
        <v>21</v>
      </c>
      <c r="AZ29" s="23">
        <v>1</v>
      </c>
      <c r="BJ29" s="23">
        <v>1</v>
      </c>
      <c r="BQ29" s="23">
        <v>1</v>
      </c>
      <c r="BT29" s="23">
        <v>1</v>
      </c>
      <c r="CB29" s="23">
        <v>5</v>
      </c>
    </row>
    <row r="30" spans="1:82" x14ac:dyDescent="0.2">
      <c r="A30" s="23" t="s">
        <v>94</v>
      </c>
      <c r="B30" s="23" t="s">
        <v>86</v>
      </c>
      <c r="C30" s="23" t="s">
        <v>95</v>
      </c>
      <c r="D30" s="23" t="s">
        <v>297</v>
      </c>
      <c r="E30" s="23">
        <f>0.82+7.58</f>
        <v>8.4</v>
      </c>
      <c r="F30" s="23">
        <f>0.43+0.75</f>
        <v>1.18</v>
      </c>
      <c r="G30" s="23">
        <f>2.09+0.32</f>
        <v>2.4099999999999997</v>
      </c>
      <c r="H30" s="23">
        <v>3.68</v>
      </c>
      <c r="I30" s="23">
        <v>1</v>
      </c>
      <c r="J30" s="23">
        <v>3</v>
      </c>
      <c r="K30" s="23" t="s">
        <v>21</v>
      </c>
      <c r="Z30" s="23">
        <v>22</v>
      </c>
      <c r="AA30" s="23">
        <v>0.12</v>
      </c>
      <c r="AD30" s="23">
        <v>4</v>
      </c>
      <c r="AE30" s="23" t="s">
        <v>21</v>
      </c>
      <c r="AF30" s="23">
        <v>6</v>
      </c>
      <c r="AG30" s="23">
        <v>0.01</v>
      </c>
      <c r="AQ30" s="23">
        <v>1</v>
      </c>
      <c r="BI30" s="23">
        <v>1</v>
      </c>
      <c r="BJ30" s="23">
        <v>1</v>
      </c>
      <c r="CA30" s="23">
        <v>1</v>
      </c>
      <c r="CB30" s="23">
        <v>2</v>
      </c>
    </row>
    <row r="31" spans="1:82" x14ac:dyDescent="0.2">
      <c r="A31" s="23" t="s">
        <v>96</v>
      </c>
      <c r="B31" s="23" t="s">
        <v>86</v>
      </c>
      <c r="C31" s="23" t="s">
        <v>97</v>
      </c>
      <c r="D31" s="23" t="s">
        <v>297</v>
      </c>
      <c r="E31" s="23">
        <f>0.97+8.72</f>
        <v>9.6900000000000013</v>
      </c>
      <c r="F31" s="23">
        <v>1.58</v>
      </c>
      <c r="G31" s="23">
        <v>3.71</v>
      </c>
      <c r="H31" s="23">
        <v>2.14</v>
      </c>
      <c r="I31" s="23">
        <f>1.64+1+0.18</f>
        <v>2.82</v>
      </c>
      <c r="J31" s="23">
        <v>3</v>
      </c>
      <c r="K31" s="23">
        <v>0.01</v>
      </c>
      <c r="R31" s="23">
        <v>2</v>
      </c>
      <c r="S31" s="23" t="s">
        <v>21</v>
      </c>
      <c r="Z31" s="23">
        <v>28</v>
      </c>
      <c r="AA31" s="23">
        <v>0.36</v>
      </c>
      <c r="AB31" s="23">
        <v>5</v>
      </c>
      <c r="AC31" s="23">
        <v>0.04</v>
      </c>
      <c r="AF31" s="23">
        <v>5</v>
      </c>
      <c r="AG31" s="23">
        <v>0.01</v>
      </c>
      <c r="AR31" s="23">
        <v>1</v>
      </c>
      <c r="CB31" s="23">
        <v>3</v>
      </c>
    </row>
    <row r="32" spans="1:82" x14ac:dyDescent="0.2">
      <c r="A32" s="23" t="s">
        <v>98</v>
      </c>
      <c r="B32" s="23" t="s">
        <v>86</v>
      </c>
      <c r="C32" s="23" t="s">
        <v>99</v>
      </c>
      <c r="D32" s="23" t="s">
        <v>297</v>
      </c>
      <c r="E32" s="23">
        <f>3.32+0.48</f>
        <v>3.8</v>
      </c>
      <c r="F32" s="23">
        <v>0.77</v>
      </c>
      <c r="G32" s="23">
        <v>1.53</v>
      </c>
      <c r="H32" s="23">
        <v>0.93</v>
      </c>
      <c r="I32" s="23">
        <v>0.39</v>
      </c>
      <c r="Z32" s="23">
        <v>11</v>
      </c>
      <c r="AA32" s="23">
        <v>0.09</v>
      </c>
      <c r="AB32" s="23">
        <v>4</v>
      </c>
      <c r="AC32" s="23">
        <v>0.06</v>
      </c>
    </row>
    <row r="33" spans="1:82" x14ac:dyDescent="0.2">
      <c r="B33" s="23" t="s">
        <v>86</v>
      </c>
      <c r="C33" s="23" t="s">
        <v>100</v>
      </c>
      <c r="D33" s="23" t="s">
        <v>297</v>
      </c>
      <c r="E33" s="23">
        <v>0.56999999999999995</v>
      </c>
      <c r="F33" s="23">
        <v>0.21</v>
      </c>
      <c r="G33" s="23">
        <v>0.28000000000000003</v>
      </c>
      <c r="H33" s="23">
        <v>0</v>
      </c>
      <c r="I33" s="23">
        <v>7.0000000000000007E-2</v>
      </c>
      <c r="Z33" s="23">
        <v>4</v>
      </c>
      <c r="AA33" s="23">
        <v>0.01</v>
      </c>
    </row>
    <row r="34" spans="1:82" x14ac:dyDescent="0.2">
      <c r="B34" s="23" t="s">
        <v>86</v>
      </c>
      <c r="C34" s="23" t="s">
        <v>23</v>
      </c>
      <c r="D34" s="23" t="s">
        <v>297</v>
      </c>
      <c r="E34" s="23">
        <v>16.670000000000002</v>
      </c>
      <c r="F34" s="23">
        <v>3.63</v>
      </c>
      <c r="G34" s="23">
        <v>6.88</v>
      </c>
      <c r="H34" s="23">
        <v>3.09</v>
      </c>
      <c r="I34" s="23">
        <v>2.6</v>
      </c>
      <c r="J34" s="23">
        <v>3</v>
      </c>
      <c r="K34" s="23">
        <v>0.03</v>
      </c>
      <c r="R34" s="23">
        <v>5</v>
      </c>
      <c r="S34" s="23">
        <v>0.04</v>
      </c>
      <c r="Z34" s="23">
        <v>20</v>
      </c>
      <c r="AA34" s="23">
        <v>0.22</v>
      </c>
      <c r="AB34" s="23">
        <v>6</v>
      </c>
      <c r="AC34" s="23">
        <v>0.12</v>
      </c>
      <c r="AF34" s="23">
        <v>2</v>
      </c>
      <c r="AG34" s="23" t="s">
        <v>21</v>
      </c>
      <c r="AL34" s="23">
        <v>1</v>
      </c>
      <c r="AM34" s="23" t="s">
        <v>21</v>
      </c>
      <c r="AQ34" s="23">
        <v>1</v>
      </c>
      <c r="BI34" s="23">
        <v>1</v>
      </c>
      <c r="BT34" s="23">
        <v>1</v>
      </c>
      <c r="CA34" s="23">
        <v>2</v>
      </c>
    </row>
    <row r="35" spans="1:82" x14ac:dyDescent="0.2">
      <c r="A35" s="25" t="s">
        <v>101</v>
      </c>
      <c r="B35" s="23" t="s">
        <v>86</v>
      </c>
      <c r="C35" s="23" t="s">
        <v>102</v>
      </c>
      <c r="D35" s="23" t="s">
        <v>297</v>
      </c>
      <c r="E35" s="23">
        <f>16.84+2.23</f>
        <v>19.07</v>
      </c>
      <c r="F35" s="23">
        <v>2.89</v>
      </c>
      <c r="G35" s="23">
        <f>9.21+0.91</f>
        <v>10.120000000000001</v>
      </c>
      <c r="H35" s="23">
        <v>2.73</v>
      </c>
      <c r="I35" s="23">
        <v>2.8</v>
      </c>
      <c r="J35" s="23">
        <v>2</v>
      </c>
      <c r="K35" s="23" t="s">
        <v>21</v>
      </c>
      <c r="R35" s="23">
        <v>6</v>
      </c>
      <c r="S35" s="23">
        <v>0.04</v>
      </c>
      <c r="Z35" s="23">
        <v>30</v>
      </c>
      <c r="AA35" s="23">
        <v>0.32</v>
      </c>
      <c r="AB35" s="23">
        <v>6</v>
      </c>
      <c r="AC35" s="23">
        <v>0.08</v>
      </c>
      <c r="AD35" s="23">
        <v>9</v>
      </c>
      <c r="AE35" s="23">
        <v>0.03</v>
      </c>
      <c r="AF35" s="23">
        <v>5</v>
      </c>
      <c r="AG35" s="23">
        <v>0.02</v>
      </c>
      <c r="AL35" s="23">
        <v>3</v>
      </c>
      <c r="AM35" s="23">
        <v>0.03</v>
      </c>
      <c r="AN35" s="23">
        <v>1</v>
      </c>
      <c r="AO35" s="23" t="s">
        <v>21</v>
      </c>
      <c r="AU35" s="23">
        <v>1</v>
      </c>
      <c r="AX35" s="23">
        <v>1</v>
      </c>
      <c r="AY35" s="23">
        <v>1</v>
      </c>
      <c r="AZ35" s="23">
        <v>1</v>
      </c>
      <c r="BE35" s="23">
        <v>1</v>
      </c>
      <c r="BI35" s="23">
        <v>1</v>
      </c>
      <c r="BR35" s="23">
        <v>1</v>
      </c>
      <c r="BU35" s="23">
        <v>1</v>
      </c>
      <c r="BW35" s="23">
        <v>1</v>
      </c>
      <c r="BX35" s="23">
        <v>1</v>
      </c>
      <c r="BY35" s="23">
        <v>1</v>
      </c>
      <c r="CA35" s="23">
        <v>2</v>
      </c>
      <c r="CD35" s="23">
        <v>73</v>
      </c>
    </row>
    <row r="36" spans="1:82" x14ac:dyDescent="0.2">
      <c r="A36" s="23" t="s">
        <v>103</v>
      </c>
      <c r="B36" s="23" t="s">
        <v>86</v>
      </c>
      <c r="C36" s="23" t="s">
        <v>104</v>
      </c>
      <c r="D36" s="23" t="s">
        <v>297</v>
      </c>
      <c r="E36" s="23">
        <f>5.14+0.74+0.45</f>
        <v>6.33</v>
      </c>
      <c r="F36" s="23">
        <f>0.47+0.16</f>
        <v>0.63</v>
      </c>
      <c r="G36" s="23">
        <v>2.65</v>
      </c>
      <c r="H36" s="23">
        <v>0.68</v>
      </c>
      <c r="I36" s="23">
        <f>1.29+0.74+0.1</f>
        <v>2.1300000000000003</v>
      </c>
      <c r="J36" s="23">
        <v>6</v>
      </c>
      <c r="K36" s="23">
        <v>0.05</v>
      </c>
      <c r="R36" s="23">
        <v>6</v>
      </c>
      <c r="S36" s="23">
        <v>0.04</v>
      </c>
      <c r="Z36" s="23">
        <v>16</v>
      </c>
      <c r="AA36" s="23">
        <v>0.15</v>
      </c>
      <c r="AB36" s="23">
        <v>2</v>
      </c>
      <c r="AC36" s="23">
        <v>0.02</v>
      </c>
      <c r="AD36" s="23">
        <v>3</v>
      </c>
      <c r="AE36" s="23" t="s">
        <v>21</v>
      </c>
      <c r="AN36" s="23">
        <v>1</v>
      </c>
      <c r="AO36" s="23" t="s">
        <v>21</v>
      </c>
      <c r="AP36" s="23">
        <v>1</v>
      </c>
      <c r="AZ36" s="23">
        <v>1</v>
      </c>
      <c r="BA36" s="23">
        <v>1</v>
      </c>
      <c r="BQ36" s="23">
        <v>1</v>
      </c>
      <c r="CA36" s="23">
        <v>2</v>
      </c>
    </row>
    <row r="37" spans="1:82" x14ac:dyDescent="0.2">
      <c r="A37" s="23">
        <v>132336</v>
      </c>
      <c r="B37" s="23" t="s">
        <v>105</v>
      </c>
      <c r="C37" s="23" t="s">
        <v>106</v>
      </c>
      <c r="D37" s="23" t="s">
        <v>297</v>
      </c>
      <c r="E37" s="23">
        <v>24.66</v>
      </c>
      <c r="F37" s="23">
        <v>1.01</v>
      </c>
      <c r="G37" s="23">
        <v>5.18</v>
      </c>
      <c r="H37" s="23">
        <v>16.100000000000001</v>
      </c>
      <c r="I37" s="23">
        <v>2.1</v>
      </c>
      <c r="Z37" s="23">
        <v>7</v>
      </c>
      <c r="AA37" s="23">
        <v>0.05</v>
      </c>
      <c r="AB37" s="23">
        <v>5</v>
      </c>
      <c r="AC37" s="23">
        <v>0.1</v>
      </c>
      <c r="AF37" s="23">
        <v>3</v>
      </c>
      <c r="AG37" s="23" t="s">
        <v>21</v>
      </c>
      <c r="AH37" s="23">
        <v>1</v>
      </c>
      <c r="AI37" s="23" t="s">
        <v>21</v>
      </c>
      <c r="AT37" s="23">
        <v>1</v>
      </c>
      <c r="CA37" s="23">
        <v>2</v>
      </c>
    </row>
    <row r="38" spans="1:82" x14ac:dyDescent="0.2">
      <c r="A38" s="23" t="s">
        <v>107</v>
      </c>
      <c r="B38" s="23" t="s">
        <v>108</v>
      </c>
      <c r="C38" s="23" t="s">
        <v>59</v>
      </c>
      <c r="D38" s="23" t="s">
        <v>297</v>
      </c>
      <c r="E38" s="23">
        <f>1.92+10.21</f>
        <v>12.13</v>
      </c>
      <c r="F38" s="23">
        <v>3.4</v>
      </c>
      <c r="G38" s="23">
        <f>4.16+0.48</f>
        <v>4.6400000000000006</v>
      </c>
      <c r="H38" s="23">
        <v>0.97</v>
      </c>
      <c r="I38" s="23">
        <v>2.09</v>
      </c>
      <c r="J38" s="23">
        <v>3</v>
      </c>
      <c r="K38" s="23" t="s">
        <v>21</v>
      </c>
      <c r="Z38" s="23">
        <v>26</v>
      </c>
      <c r="AA38" s="23">
        <v>0.24</v>
      </c>
      <c r="AB38" s="23">
        <v>9</v>
      </c>
      <c r="AC38" s="23">
        <v>0.67</v>
      </c>
      <c r="AF38" s="23">
        <v>2</v>
      </c>
      <c r="AG38" s="23" t="s">
        <v>21</v>
      </c>
      <c r="BA38" s="23">
        <v>1</v>
      </c>
      <c r="CA38" s="23">
        <v>1</v>
      </c>
      <c r="CD38" s="23">
        <v>28</v>
      </c>
    </row>
    <row r="39" spans="1:82" x14ac:dyDescent="0.2">
      <c r="A39" s="23" t="s">
        <v>109</v>
      </c>
      <c r="B39" s="23" t="s">
        <v>108</v>
      </c>
      <c r="C39" s="23" t="s">
        <v>63</v>
      </c>
      <c r="D39" s="23" t="s">
        <v>297</v>
      </c>
      <c r="E39" s="23">
        <v>1.93</v>
      </c>
      <c r="F39" s="23">
        <v>0.63</v>
      </c>
      <c r="G39" s="23">
        <v>1.08</v>
      </c>
      <c r="H39" s="23">
        <v>0.05</v>
      </c>
      <c r="I39" s="23">
        <v>0.16</v>
      </c>
      <c r="Z39" s="23">
        <v>3</v>
      </c>
      <c r="AA39" s="23">
        <v>0.01</v>
      </c>
    </row>
    <row r="40" spans="1:82" x14ac:dyDescent="0.2">
      <c r="A40" s="23" t="s">
        <v>110</v>
      </c>
      <c r="B40" s="23" t="s">
        <v>108</v>
      </c>
      <c r="C40" s="23" t="s">
        <v>66</v>
      </c>
      <c r="D40" s="23" t="s">
        <v>297</v>
      </c>
      <c r="E40" s="23">
        <v>1.02</v>
      </c>
      <c r="F40" s="23">
        <v>0.34</v>
      </c>
      <c r="G40" s="23">
        <v>0.54</v>
      </c>
      <c r="H40" s="23">
        <v>0.05</v>
      </c>
      <c r="I40" s="23">
        <v>0.04</v>
      </c>
      <c r="J40" s="23">
        <v>1</v>
      </c>
      <c r="K40" s="23" t="s">
        <v>21</v>
      </c>
      <c r="Z40" s="23">
        <v>1</v>
      </c>
      <c r="AA40" s="23" t="s">
        <v>21</v>
      </c>
      <c r="CA40" s="23">
        <v>1</v>
      </c>
    </row>
    <row r="41" spans="1:82" x14ac:dyDescent="0.2">
      <c r="A41" s="23" t="s">
        <v>111</v>
      </c>
      <c r="B41" s="23" t="s">
        <v>108</v>
      </c>
      <c r="C41" s="23" t="s">
        <v>102</v>
      </c>
      <c r="D41" s="23" t="s">
        <v>297</v>
      </c>
      <c r="E41" s="23">
        <f>3.11+4.88</f>
        <v>7.99</v>
      </c>
      <c r="F41" s="23">
        <f>2.68</f>
        <v>2.68</v>
      </c>
      <c r="G41" s="23">
        <f>2.35+0.76</f>
        <v>3.1100000000000003</v>
      </c>
      <c r="H41" s="23">
        <v>1.25</v>
      </c>
      <c r="I41" s="23">
        <v>0.78</v>
      </c>
      <c r="Z41" s="23">
        <v>13</v>
      </c>
      <c r="AA41" s="23">
        <v>0.13</v>
      </c>
      <c r="AF41" s="23">
        <v>1</v>
      </c>
      <c r="AG41" s="23" t="s">
        <v>21</v>
      </c>
      <c r="AQ41" s="23">
        <v>1</v>
      </c>
      <c r="BQ41" s="23">
        <v>1</v>
      </c>
      <c r="CD41" s="23">
        <v>15</v>
      </c>
    </row>
    <row r="42" spans="1:82" x14ac:dyDescent="0.2">
      <c r="A42" s="23" t="s">
        <v>114</v>
      </c>
      <c r="B42" s="23" t="s">
        <v>115</v>
      </c>
      <c r="C42" s="23" t="s">
        <v>116</v>
      </c>
      <c r="D42" s="23" t="s">
        <v>297</v>
      </c>
      <c r="E42" s="23">
        <v>1.75</v>
      </c>
      <c r="F42" s="23">
        <v>0.26</v>
      </c>
      <c r="G42" s="23">
        <v>1.38</v>
      </c>
      <c r="H42" s="23">
        <v>0.05</v>
      </c>
      <c r="I42" s="23">
        <v>0.06</v>
      </c>
    </row>
    <row r="43" spans="1:82" x14ac:dyDescent="0.2">
      <c r="A43" s="23" t="s">
        <v>122</v>
      </c>
      <c r="B43" s="23" t="s">
        <v>123</v>
      </c>
      <c r="C43" s="23" t="s">
        <v>16</v>
      </c>
      <c r="D43" s="23" t="s">
        <v>297</v>
      </c>
      <c r="E43" s="23">
        <v>3.82</v>
      </c>
      <c r="F43" s="23">
        <v>1.77</v>
      </c>
      <c r="G43" s="23">
        <v>1.73</v>
      </c>
      <c r="H43" s="23">
        <v>0.04</v>
      </c>
      <c r="I43" s="23">
        <v>0.24</v>
      </c>
      <c r="Z43" s="23">
        <v>4</v>
      </c>
      <c r="AA43" s="23">
        <v>0.03</v>
      </c>
      <c r="AQ43" s="23">
        <v>4</v>
      </c>
      <c r="CD43" s="23">
        <v>24</v>
      </c>
    </row>
    <row r="44" spans="1:82" x14ac:dyDescent="0.2">
      <c r="A44" s="23" t="s">
        <v>124</v>
      </c>
      <c r="B44" s="23" t="s">
        <v>123</v>
      </c>
      <c r="C44" s="23" t="s">
        <v>59</v>
      </c>
      <c r="D44" s="23" t="s">
        <v>297</v>
      </c>
      <c r="E44" s="23">
        <f>4.77+1.52</f>
        <v>6.2899999999999991</v>
      </c>
      <c r="F44" s="23">
        <f>0.73*2</f>
        <v>1.46</v>
      </c>
      <c r="G44" s="23">
        <f>3.6+0.77</f>
        <v>4.37</v>
      </c>
      <c r="H44" s="23">
        <v>0.23</v>
      </c>
      <c r="I44" s="23">
        <v>0.09</v>
      </c>
      <c r="J44" s="23">
        <v>1</v>
      </c>
      <c r="K44" s="23" t="s">
        <v>21</v>
      </c>
      <c r="Z44" s="23">
        <v>2</v>
      </c>
      <c r="AA44" s="23">
        <v>0.03</v>
      </c>
      <c r="AF44" s="23">
        <v>1</v>
      </c>
      <c r="AG44" s="23" t="s">
        <v>21</v>
      </c>
      <c r="AP44" s="23">
        <v>2</v>
      </c>
      <c r="AY44" s="23">
        <v>1</v>
      </c>
      <c r="BM44" s="23">
        <v>1</v>
      </c>
      <c r="CA44" s="23">
        <v>1</v>
      </c>
      <c r="CD44" s="23">
        <v>13</v>
      </c>
    </row>
    <row r="45" spans="1:82" x14ac:dyDescent="0.2">
      <c r="A45" s="23" t="s">
        <v>126</v>
      </c>
      <c r="B45" s="23" t="s">
        <v>123</v>
      </c>
      <c r="C45" s="23" t="s">
        <v>63</v>
      </c>
      <c r="D45" s="23" t="s">
        <v>297</v>
      </c>
      <c r="E45" s="23">
        <v>4.3</v>
      </c>
      <c r="F45" s="23">
        <f>0.16+0.77</f>
        <v>0.93</v>
      </c>
      <c r="G45" s="23">
        <f>2.83+0.48</f>
        <v>3.31</v>
      </c>
      <c r="H45" s="23">
        <v>0.03</v>
      </c>
      <c r="I45" s="23">
        <v>0.11</v>
      </c>
      <c r="Z45" s="23">
        <v>4</v>
      </c>
      <c r="AA45" s="23">
        <v>0.01</v>
      </c>
      <c r="AF45" s="23">
        <v>2</v>
      </c>
      <c r="AG45" s="23" t="s">
        <v>21</v>
      </c>
      <c r="AP45" s="23">
        <v>3</v>
      </c>
      <c r="CD45" s="23">
        <v>39</v>
      </c>
    </row>
    <row r="46" spans="1:82" x14ac:dyDescent="0.2">
      <c r="A46" s="23" t="s">
        <v>127</v>
      </c>
      <c r="B46" s="23" t="s">
        <v>123</v>
      </c>
      <c r="C46" s="23" t="s">
        <v>66</v>
      </c>
      <c r="D46" s="23" t="s">
        <v>297</v>
      </c>
      <c r="E46" s="23">
        <v>0.48</v>
      </c>
      <c r="F46" s="23">
        <v>0.23</v>
      </c>
      <c r="G46" s="23">
        <v>0.23</v>
      </c>
      <c r="Z46" s="23">
        <v>3</v>
      </c>
      <c r="AA46" s="23">
        <v>0.02</v>
      </c>
    </row>
    <row r="47" spans="1:82" x14ac:dyDescent="0.2">
      <c r="A47" s="23" t="s">
        <v>128</v>
      </c>
      <c r="B47" s="23" t="s">
        <v>123</v>
      </c>
      <c r="C47" s="23" t="s">
        <v>32</v>
      </c>
      <c r="D47" s="23" t="s">
        <v>297</v>
      </c>
      <c r="E47" s="23">
        <v>0.85</v>
      </c>
      <c r="F47" s="23">
        <v>0.18</v>
      </c>
      <c r="G47" s="23">
        <v>0.59</v>
      </c>
      <c r="H47" s="23">
        <v>0.04</v>
      </c>
      <c r="I47" s="23">
        <v>0.05</v>
      </c>
    </row>
    <row r="48" spans="1:82" x14ac:dyDescent="0.2">
      <c r="A48" s="23" t="s">
        <v>129</v>
      </c>
      <c r="B48" s="23" t="s">
        <v>123</v>
      </c>
      <c r="C48" s="23" t="s">
        <v>23</v>
      </c>
      <c r="D48" s="23" t="s">
        <v>297</v>
      </c>
      <c r="E48" s="23">
        <v>5.14</v>
      </c>
      <c r="F48" s="23">
        <v>1.36</v>
      </c>
      <c r="G48" s="23">
        <v>3.43</v>
      </c>
      <c r="H48" s="23">
        <v>0.16</v>
      </c>
      <c r="I48" s="23">
        <v>7.0000000000000007E-2</v>
      </c>
      <c r="L48" s="23">
        <v>1</v>
      </c>
      <c r="Z48" s="23">
        <v>3</v>
      </c>
      <c r="AA48" s="23">
        <v>0.02</v>
      </c>
      <c r="AF48" s="23">
        <v>6</v>
      </c>
      <c r="AG48" s="23">
        <v>0.01</v>
      </c>
      <c r="AV48" s="23">
        <v>1</v>
      </c>
      <c r="CA48" s="23">
        <v>2</v>
      </c>
    </row>
    <row r="49" spans="1:82" x14ac:dyDescent="0.2">
      <c r="A49" s="23" t="s">
        <v>130</v>
      </c>
      <c r="B49" s="23" t="s">
        <v>123</v>
      </c>
      <c r="C49" s="23" t="s">
        <v>131</v>
      </c>
      <c r="D49" s="23" t="s">
        <v>297</v>
      </c>
      <c r="E49" s="23">
        <v>2.08</v>
      </c>
      <c r="F49" s="23">
        <v>0.6</v>
      </c>
      <c r="G49" s="23">
        <f>0.93+0.25</f>
        <v>1.1800000000000002</v>
      </c>
      <c r="H49" s="23">
        <v>0.09</v>
      </c>
      <c r="I49" s="23">
        <v>0.15</v>
      </c>
      <c r="J49" s="23">
        <v>1</v>
      </c>
      <c r="K49" s="23">
        <v>0.01</v>
      </c>
      <c r="Z49" s="23">
        <v>3</v>
      </c>
      <c r="AA49" s="23">
        <v>0.01</v>
      </c>
      <c r="AN49" s="23">
        <v>1</v>
      </c>
      <c r="AO49" s="23" t="s">
        <v>21</v>
      </c>
    </row>
    <row r="50" spans="1:82" x14ac:dyDescent="0.2">
      <c r="A50" s="23" t="s">
        <v>132</v>
      </c>
      <c r="B50" s="23" t="s">
        <v>123</v>
      </c>
      <c r="C50" s="23" t="s">
        <v>133</v>
      </c>
      <c r="D50" s="23" t="s">
        <v>297</v>
      </c>
      <c r="E50" s="23">
        <f>1.35+5.89</f>
        <v>7.24</v>
      </c>
      <c r="F50" s="23">
        <f>0.59+0.64</f>
        <v>1.23</v>
      </c>
      <c r="G50" s="23">
        <v>4.08</v>
      </c>
      <c r="H50" s="23">
        <v>1.1100000000000001</v>
      </c>
      <c r="I50" s="23">
        <v>0.66</v>
      </c>
      <c r="Z50" s="23">
        <v>2</v>
      </c>
      <c r="AA50" s="23">
        <v>0.02</v>
      </c>
      <c r="CA50" s="23">
        <v>1</v>
      </c>
    </row>
    <row r="51" spans="1:82" x14ac:dyDescent="0.2">
      <c r="A51" s="23" t="s">
        <v>137</v>
      </c>
      <c r="B51" s="25" t="s">
        <v>123</v>
      </c>
      <c r="C51" s="23" t="s">
        <v>134</v>
      </c>
      <c r="D51" s="23" t="s">
        <v>297</v>
      </c>
      <c r="E51" s="23">
        <v>1.32</v>
      </c>
      <c r="F51" s="23">
        <v>0.28000000000000003</v>
      </c>
      <c r="G51" s="23">
        <v>0.83</v>
      </c>
      <c r="H51" s="23">
        <v>0.13</v>
      </c>
      <c r="I51" s="23">
        <v>7.0000000000000007E-2</v>
      </c>
      <c r="T51" s="23">
        <v>1</v>
      </c>
      <c r="U51" s="23" t="s">
        <v>21</v>
      </c>
    </row>
    <row r="52" spans="1:82" x14ac:dyDescent="0.2">
      <c r="A52" s="23" t="s">
        <v>135</v>
      </c>
      <c r="B52" s="25" t="s">
        <v>123</v>
      </c>
      <c r="C52" s="23" t="s">
        <v>136</v>
      </c>
      <c r="D52" s="23" t="s">
        <v>297</v>
      </c>
      <c r="E52" s="23">
        <f>0.45+0.79</f>
        <v>1.24</v>
      </c>
      <c r="F52" s="23">
        <v>0.28999999999999998</v>
      </c>
      <c r="G52" s="23">
        <v>0.62</v>
      </c>
      <c r="H52" s="23">
        <v>0.23</v>
      </c>
      <c r="I52" s="23">
        <v>0.09</v>
      </c>
      <c r="CA52" s="23">
        <v>2</v>
      </c>
    </row>
    <row r="53" spans="1:82" x14ac:dyDescent="0.2">
      <c r="A53" s="23" t="s">
        <v>138</v>
      </c>
      <c r="B53" s="23" t="s">
        <v>123</v>
      </c>
      <c r="C53" s="23" t="s">
        <v>139</v>
      </c>
      <c r="D53" s="23" t="s">
        <v>297</v>
      </c>
      <c r="E53" s="23">
        <f>2.34</f>
        <v>2.34</v>
      </c>
      <c r="F53" s="23">
        <v>0.54</v>
      </c>
      <c r="G53" s="23">
        <v>1.6</v>
      </c>
      <c r="H53" s="23">
        <v>0.14000000000000001</v>
      </c>
      <c r="I53" s="23">
        <v>0.03</v>
      </c>
    </row>
    <row r="54" spans="1:82" x14ac:dyDescent="0.2">
      <c r="A54" s="23" t="s">
        <v>140</v>
      </c>
      <c r="B54" s="25" t="s">
        <v>123</v>
      </c>
      <c r="C54" s="23" t="s">
        <v>141</v>
      </c>
      <c r="D54" s="23" t="s">
        <v>297</v>
      </c>
      <c r="E54" s="23">
        <v>0.5</v>
      </c>
      <c r="F54" s="23">
        <v>0.21</v>
      </c>
      <c r="G54" s="23">
        <v>0.21</v>
      </c>
      <c r="H54" s="23">
        <v>7.0000000000000007E-2</v>
      </c>
      <c r="I54" s="23">
        <v>0.01</v>
      </c>
    </row>
    <row r="55" spans="1:82" x14ac:dyDescent="0.2">
      <c r="A55" s="23" t="s">
        <v>211</v>
      </c>
      <c r="B55" s="25" t="s">
        <v>151</v>
      </c>
      <c r="C55" s="23" t="s">
        <v>35</v>
      </c>
      <c r="D55" s="23" t="s">
        <v>298</v>
      </c>
      <c r="E55" s="23">
        <v>5.2</v>
      </c>
      <c r="F55" s="23">
        <v>0.5</v>
      </c>
      <c r="G55" s="23">
        <v>1.38</v>
      </c>
      <c r="H55" s="23">
        <v>3.22</v>
      </c>
      <c r="I55" s="23">
        <v>0.08</v>
      </c>
      <c r="Z55" s="23">
        <v>7</v>
      </c>
      <c r="AA55" s="23">
        <v>0.04</v>
      </c>
      <c r="AF55" s="23">
        <v>1</v>
      </c>
      <c r="AG55" s="23" t="s">
        <v>21</v>
      </c>
      <c r="AJ55" s="23">
        <v>1</v>
      </c>
      <c r="AK55" s="23">
        <v>0.01</v>
      </c>
      <c r="AQ55" s="23">
        <v>4</v>
      </c>
      <c r="CD55" s="23">
        <v>36</v>
      </c>
    </row>
    <row r="56" spans="1:82" x14ac:dyDescent="0.2">
      <c r="A56" s="23" t="s">
        <v>212</v>
      </c>
      <c r="B56" s="25" t="s">
        <v>198</v>
      </c>
      <c r="C56" s="23" t="s">
        <v>35</v>
      </c>
      <c r="D56" s="23" t="s">
        <v>298</v>
      </c>
      <c r="E56" s="23">
        <f>5.53+0.58</f>
        <v>6.11</v>
      </c>
      <c r="H56" s="23">
        <v>1.03</v>
      </c>
      <c r="I56" s="23">
        <v>4.9400000000000004</v>
      </c>
      <c r="J56" s="23">
        <v>1</v>
      </c>
      <c r="K56" s="23">
        <v>0.09</v>
      </c>
      <c r="Z56" s="23">
        <v>1</v>
      </c>
      <c r="AA56" s="23">
        <v>0.03</v>
      </c>
    </row>
    <row r="57" spans="1:82" x14ac:dyDescent="0.2">
      <c r="A57" s="23" t="s">
        <v>290</v>
      </c>
      <c r="B57" s="25" t="s">
        <v>291</v>
      </c>
      <c r="C57" s="23" t="s">
        <v>16</v>
      </c>
      <c r="D57" s="23" t="s">
        <v>297</v>
      </c>
      <c r="E57" s="23">
        <f>0.58+7.65</f>
        <v>8.23</v>
      </c>
      <c r="F57" s="23">
        <v>1.5</v>
      </c>
      <c r="G57" s="23">
        <v>4.2699999999999996</v>
      </c>
      <c r="H57" s="23">
        <v>1.07</v>
      </c>
      <c r="I57" s="23">
        <v>1.26</v>
      </c>
      <c r="R57" s="23">
        <v>2</v>
      </c>
      <c r="S57" s="23" t="s">
        <v>21</v>
      </c>
      <c r="AF57" s="23">
        <v>3</v>
      </c>
      <c r="AG57" s="23" t="s">
        <v>21</v>
      </c>
      <c r="AP57" s="23">
        <v>2</v>
      </c>
      <c r="AZ57" s="23">
        <v>1</v>
      </c>
      <c r="BA57" s="23">
        <v>1</v>
      </c>
      <c r="CA57" s="23">
        <v>4</v>
      </c>
      <c r="CD57" s="23">
        <v>22</v>
      </c>
    </row>
    <row r="58" spans="1:82" x14ac:dyDescent="0.2">
      <c r="A58" s="23" t="s">
        <v>292</v>
      </c>
      <c r="B58" s="25" t="s">
        <v>291</v>
      </c>
      <c r="C58" s="23" t="s">
        <v>63</v>
      </c>
      <c r="D58" s="23" t="s">
        <v>297</v>
      </c>
      <c r="E58" s="23">
        <f>2.63+24.58</f>
        <v>27.209999999999997</v>
      </c>
      <c r="F58" s="23">
        <f>1.98</f>
        <v>1.98</v>
      </c>
      <c r="G58" s="23">
        <f>10.83+0.82</f>
        <v>11.65</v>
      </c>
      <c r="H58" s="23">
        <v>9.8800000000000008</v>
      </c>
      <c r="I58" s="23">
        <f>2.11+1.21</f>
        <v>3.32</v>
      </c>
      <c r="J58" s="23">
        <v>4</v>
      </c>
      <c r="K58" s="23">
        <v>0.02</v>
      </c>
      <c r="L58" s="23">
        <v>1</v>
      </c>
      <c r="R58" s="23">
        <v>1</v>
      </c>
      <c r="S58" s="23" t="s">
        <v>21</v>
      </c>
      <c r="Z58" s="23">
        <v>6</v>
      </c>
      <c r="AA58" s="23">
        <v>0.06</v>
      </c>
      <c r="AF58" s="23">
        <v>5</v>
      </c>
      <c r="AG58" s="23">
        <v>0.01</v>
      </c>
      <c r="AP58" s="23">
        <v>1</v>
      </c>
      <c r="CA58" s="23">
        <v>1</v>
      </c>
      <c r="CD58" s="23">
        <v>210</v>
      </c>
    </row>
    <row r="59" spans="1:82" x14ac:dyDescent="0.2">
      <c r="A59" s="23" t="s">
        <v>293</v>
      </c>
      <c r="B59" s="25" t="s">
        <v>291</v>
      </c>
      <c r="C59" s="23" t="s">
        <v>66</v>
      </c>
      <c r="D59" s="23" t="s">
        <v>297</v>
      </c>
      <c r="E59" s="23">
        <f>4.83+41.87</f>
        <v>46.699999999999996</v>
      </c>
      <c r="F59" s="23">
        <v>21.17</v>
      </c>
      <c r="G59" s="23">
        <f>1.33+15.1</f>
        <v>16.43</v>
      </c>
      <c r="H59" s="23">
        <v>1.6</v>
      </c>
      <c r="I59" s="23">
        <f>2.91+4.33</f>
        <v>7.24</v>
      </c>
      <c r="J59" s="23">
        <v>2</v>
      </c>
      <c r="K59" s="23">
        <v>0.01</v>
      </c>
      <c r="L59" s="23">
        <v>1</v>
      </c>
      <c r="T59" s="23">
        <v>1</v>
      </c>
      <c r="U59" s="23" t="s">
        <v>21</v>
      </c>
      <c r="Z59" s="23">
        <v>3</v>
      </c>
      <c r="AA59" s="23">
        <v>0.02</v>
      </c>
      <c r="AF59" s="23">
        <v>3</v>
      </c>
      <c r="AG59" s="23" t="s">
        <v>21</v>
      </c>
      <c r="AY59" s="23">
        <v>1</v>
      </c>
      <c r="BQ59" s="23">
        <v>4</v>
      </c>
      <c r="CA59" s="23">
        <v>1</v>
      </c>
      <c r="CD59" s="23">
        <v>173</v>
      </c>
    </row>
    <row r="60" spans="1:82" x14ac:dyDescent="0.2">
      <c r="A60" s="23" t="s">
        <v>294</v>
      </c>
      <c r="B60" s="25" t="s">
        <v>291</v>
      </c>
      <c r="C60" s="23" t="s">
        <v>69</v>
      </c>
      <c r="D60" s="23" t="s">
        <v>297</v>
      </c>
      <c r="E60" s="23">
        <f>9.18+33.19</f>
        <v>42.37</v>
      </c>
      <c r="F60" s="23">
        <f>1.66+2.91</f>
        <v>4.57</v>
      </c>
      <c r="G60" s="23">
        <f>15.72+2.05</f>
        <v>17.77</v>
      </c>
      <c r="H60" s="23">
        <v>8.64</v>
      </c>
      <c r="I60" s="23">
        <f>5.36+5.49</f>
        <v>10.850000000000001</v>
      </c>
      <c r="J60" s="23">
        <v>8</v>
      </c>
      <c r="K60" s="23">
        <v>0.05</v>
      </c>
      <c r="R60" s="23">
        <v>8</v>
      </c>
      <c r="S60" s="23">
        <v>0.03</v>
      </c>
      <c r="Z60" s="23">
        <v>7</v>
      </c>
      <c r="AA60" s="23">
        <v>7.0000000000000007E-2</v>
      </c>
      <c r="AD60" s="23">
        <v>5</v>
      </c>
      <c r="AE60" s="23">
        <v>0.01</v>
      </c>
      <c r="AQ60" s="23">
        <v>1</v>
      </c>
      <c r="AY60" s="23">
        <v>1</v>
      </c>
      <c r="BO60" s="23">
        <v>1</v>
      </c>
      <c r="CA60" s="23">
        <v>1</v>
      </c>
      <c r="CB60" s="23">
        <v>4</v>
      </c>
      <c r="CD60" s="23">
        <v>200</v>
      </c>
    </row>
    <row r="61" spans="1:82" x14ac:dyDescent="0.2">
      <c r="A61" s="23" t="s">
        <v>296</v>
      </c>
      <c r="B61" s="25" t="s">
        <v>291</v>
      </c>
      <c r="C61" s="23" t="s">
        <v>72</v>
      </c>
      <c r="D61" s="23" t="s">
        <v>297</v>
      </c>
      <c r="E61" s="23">
        <f>8.19+38.29</f>
        <v>46.48</v>
      </c>
      <c r="F61" s="23">
        <f>1.33+3.46</f>
        <v>4.79</v>
      </c>
      <c r="G61" s="23">
        <f>14.64+1.73</f>
        <v>16.37</v>
      </c>
      <c r="H61" s="23">
        <f>12.81</f>
        <v>12.81</v>
      </c>
      <c r="I61" s="23">
        <f>5.06+7.08</f>
        <v>12.14</v>
      </c>
      <c r="J61" s="23">
        <v>2</v>
      </c>
      <c r="K61" s="23">
        <v>0.01</v>
      </c>
      <c r="L61" s="23">
        <v>3</v>
      </c>
      <c r="M61" s="23" t="s">
        <v>21</v>
      </c>
      <c r="R61" s="23">
        <v>5</v>
      </c>
      <c r="S61" s="23">
        <v>0.01</v>
      </c>
      <c r="Z61" s="23">
        <v>17</v>
      </c>
      <c r="AA61" s="23">
        <v>0.15</v>
      </c>
      <c r="AP61" s="23">
        <v>1</v>
      </c>
      <c r="BR61" s="23">
        <v>1</v>
      </c>
      <c r="CA61" s="23">
        <v>4</v>
      </c>
      <c r="CD61" s="23">
        <v>175</v>
      </c>
    </row>
    <row r="62" spans="1:82" x14ac:dyDescent="0.2">
      <c r="A62" s="23" t="s">
        <v>301</v>
      </c>
      <c r="B62" s="25" t="s">
        <v>291</v>
      </c>
      <c r="C62" s="23" t="s">
        <v>89</v>
      </c>
      <c r="D62" s="23" t="s">
        <v>300</v>
      </c>
      <c r="E62" s="23">
        <f>12.05+42.4+1.18</f>
        <v>55.63</v>
      </c>
      <c r="F62" s="23">
        <f>1.31+2.04</f>
        <v>3.35</v>
      </c>
      <c r="G62" s="23">
        <f>13.19+3.09</f>
        <v>16.28</v>
      </c>
      <c r="H62" s="23">
        <f>20.3</f>
        <v>20.3</v>
      </c>
      <c r="I62" s="23">
        <f>7.62+6.68+1.18</f>
        <v>15.48</v>
      </c>
      <c r="J62" s="23">
        <v>1</v>
      </c>
      <c r="K62" s="23" t="s">
        <v>21</v>
      </c>
      <c r="L62" s="23">
        <v>5</v>
      </c>
      <c r="M62" s="23">
        <v>0.01</v>
      </c>
      <c r="R62" s="23">
        <v>5</v>
      </c>
      <c r="S62" s="23">
        <v>0.02</v>
      </c>
      <c r="Z62" s="23">
        <v>8</v>
      </c>
      <c r="AA62" s="23">
        <v>0.05</v>
      </c>
      <c r="AF62" s="23">
        <v>3</v>
      </c>
      <c r="AG62" s="23" t="s">
        <v>21</v>
      </c>
      <c r="AP62" s="23">
        <v>2</v>
      </c>
      <c r="BE62" s="23">
        <v>1</v>
      </c>
      <c r="BS62" s="23">
        <v>1</v>
      </c>
      <c r="CA62" s="23">
        <v>1</v>
      </c>
      <c r="CB62" s="23">
        <v>2</v>
      </c>
      <c r="CD62" s="23">
        <v>200</v>
      </c>
    </row>
    <row r="63" spans="1:82" x14ac:dyDescent="0.2">
      <c r="A63" s="23" t="s">
        <v>303</v>
      </c>
      <c r="B63" s="25" t="s">
        <v>291</v>
      </c>
      <c r="C63" s="23" t="s">
        <v>32</v>
      </c>
      <c r="D63" s="23" t="s">
        <v>297</v>
      </c>
      <c r="E63" s="23">
        <f>0.91+5.29</f>
        <v>6.2</v>
      </c>
      <c r="F63" s="23">
        <v>2.89</v>
      </c>
      <c r="G63" s="23">
        <v>2.68</v>
      </c>
      <c r="H63" s="23">
        <v>0.16</v>
      </c>
      <c r="I63" s="23">
        <v>0.37</v>
      </c>
      <c r="Z63" s="23">
        <v>4</v>
      </c>
      <c r="AA63" s="23">
        <v>0.02</v>
      </c>
      <c r="AD63" s="23">
        <v>4</v>
      </c>
      <c r="AE63" s="23" t="s">
        <v>21</v>
      </c>
      <c r="AP63" s="23">
        <v>1</v>
      </c>
      <c r="BI63" s="23">
        <v>1</v>
      </c>
      <c r="CA63" s="23">
        <v>2</v>
      </c>
      <c r="CD63" s="23">
        <v>68</v>
      </c>
    </row>
    <row r="64" spans="1:82" x14ac:dyDescent="0.2">
      <c r="A64" s="23" t="s">
        <v>302</v>
      </c>
      <c r="B64" s="25" t="s">
        <v>291</v>
      </c>
      <c r="C64" s="23" t="s">
        <v>23</v>
      </c>
      <c r="D64" s="23" t="s">
        <v>297</v>
      </c>
      <c r="E64" s="23">
        <f>0.56+5.66</f>
        <v>6.2200000000000006</v>
      </c>
      <c r="F64" s="23">
        <v>1.05</v>
      </c>
      <c r="G64" s="23">
        <f>4.27+0.18</f>
        <v>4.4499999999999993</v>
      </c>
      <c r="H64" s="23">
        <v>0.23</v>
      </c>
      <c r="I64" s="23">
        <v>0.37</v>
      </c>
      <c r="L64" s="23">
        <v>2</v>
      </c>
      <c r="M64" s="23">
        <v>0.01</v>
      </c>
      <c r="Z64" s="23">
        <v>9</v>
      </c>
      <c r="AA64" s="23">
        <v>0.1</v>
      </c>
      <c r="AF64" s="23">
        <v>2</v>
      </c>
      <c r="AG64" s="23" t="s">
        <v>21</v>
      </c>
      <c r="AZ64" s="23">
        <v>1</v>
      </c>
      <c r="BQ64" s="23">
        <v>2</v>
      </c>
      <c r="BT64" s="23">
        <v>1</v>
      </c>
      <c r="CB64" s="23">
        <v>2</v>
      </c>
      <c r="CD64" s="23">
        <v>116</v>
      </c>
    </row>
    <row r="65" spans="1:82" x14ac:dyDescent="0.2">
      <c r="A65" s="23">
        <v>134676</v>
      </c>
      <c r="B65" s="23" t="s">
        <v>291</v>
      </c>
      <c r="C65" s="23" t="s">
        <v>23</v>
      </c>
      <c r="D65" s="23" t="s">
        <v>297</v>
      </c>
      <c r="E65" s="23">
        <v>1.93</v>
      </c>
      <c r="I65" s="23">
        <v>1.93</v>
      </c>
    </row>
    <row r="66" spans="1:82" x14ac:dyDescent="0.2">
      <c r="A66" s="23" t="s">
        <v>304</v>
      </c>
      <c r="B66" s="23" t="s">
        <v>291</v>
      </c>
      <c r="C66" s="23" t="s">
        <v>35</v>
      </c>
      <c r="D66" s="23" t="s">
        <v>297</v>
      </c>
      <c r="E66" s="23">
        <f>9.59+50.84+2.35</f>
        <v>62.780000000000008</v>
      </c>
      <c r="F66" s="23">
        <f>4.34+0.49</f>
        <v>4.83</v>
      </c>
      <c r="G66" s="23">
        <f>20.09</f>
        <v>20.09</v>
      </c>
      <c r="H66" s="23">
        <v>20.95</v>
      </c>
      <c r="I66" s="23">
        <f>6.95+7.14+2.35</f>
        <v>16.440000000000001</v>
      </c>
      <c r="L66" s="23">
        <v>8</v>
      </c>
      <c r="M66" s="23">
        <v>0.04</v>
      </c>
      <c r="R66" s="23">
        <v>3</v>
      </c>
      <c r="S66" s="23" t="s">
        <v>21</v>
      </c>
      <c r="X66" s="23">
        <v>2</v>
      </c>
      <c r="Y66" s="23">
        <v>0.03</v>
      </c>
      <c r="Z66" s="23">
        <v>4</v>
      </c>
      <c r="AA66" s="23">
        <v>0.03</v>
      </c>
      <c r="AF66" s="23">
        <v>1</v>
      </c>
      <c r="AG66" s="23" t="s">
        <v>21</v>
      </c>
      <c r="AL66" s="23">
        <v>3</v>
      </c>
      <c r="AM66" s="23" t="s">
        <v>21</v>
      </c>
      <c r="AP66" s="23">
        <v>2</v>
      </c>
      <c r="BI66" s="23">
        <v>1</v>
      </c>
      <c r="BO66" s="23">
        <v>1</v>
      </c>
      <c r="CA66" s="23">
        <v>4</v>
      </c>
      <c r="CD66" s="23">
        <v>125</v>
      </c>
    </row>
    <row r="67" spans="1:82" x14ac:dyDescent="0.2">
      <c r="A67" s="23" t="s">
        <v>305</v>
      </c>
      <c r="B67" s="25" t="s">
        <v>291</v>
      </c>
      <c r="C67" s="23" t="s">
        <v>38</v>
      </c>
      <c r="D67" s="23" t="s">
        <v>297</v>
      </c>
      <c r="E67" s="23">
        <f>9.31+46.34</f>
        <v>55.650000000000006</v>
      </c>
      <c r="F67" s="23">
        <f>3.44+1.48</f>
        <v>4.92</v>
      </c>
      <c r="G67" s="23">
        <f>14.6+2.46</f>
        <v>17.059999999999999</v>
      </c>
      <c r="H67" s="23">
        <v>22.12</v>
      </c>
      <c r="I67" s="23">
        <f>5.91+5.28</f>
        <v>11.190000000000001</v>
      </c>
      <c r="L67" s="23">
        <v>4</v>
      </c>
      <c r="M67" s="23">
        <v>0.01</v>
      </c>
      <c r="R67" s="23">
        <v>5</v>
      </c>
      <c r="S67" s="23">
        <v>0.03</v>
      </c>
      <c r="T67" s="23">
        <v>3</v>
      </c>
      <c r="U67" s="23">
        <v>0.01</v>
      </c>
      <c r="Z67" s="23">
        <v>10</v>
      </c>
      <c r="AA67" s="23">
        <v>7.0000000000000007E-2</v>
      </c>
      <c r="AD67" s="23">
        <v>4</v>
      </c>
      <c r="AE67" s="23">
        <v>0.01</v>
      </c>
      <c r="AF67" s="23">
        <v>2</v>
      </c>
      <c r="AG67" s="23" t="s">
        <v>21</v>
      </c>
      <c r="AQ67" s="23">
        <v>1</v>
      </c>
      <c r="BT67" s="23">
        <v>1</v>
      </c>
      <c r="CA67" s="23">
        <v>8</v>
      </c>
      <c r="CD67" s="23">
        <v>32</v>
      </c>
    </row>
    <row r="68" spans="1:82" x14ac:dyDescent="0.2">
      <c r="A68" s="23" t="s">
        <v>306</v>
      </c>
      <c r="B68" s="25" t="s">
        <v>291</v>
      </c>
      <c r="C68" s="23" t="s">
        <v>42</v>
      </c>
      <c r="D68" s="23" t="s">
        <v>297</v>
      </c>
      <c r="E68" s="23">
        <f>7.64+45.1+2.61</f>
        <v>55.35</v>
      </c>
      <c r="F68" s="23">
        <f>3.25+1.28</f>
        <v>4.53</v>
      </c>
      <c r="G68" s="23">
        <f>17.21+1.87</f>
        <v>19.080000000000002</v>
      </c>
      <c r="H68" s="23">
        <v>18.579999999999998</v>
      </c>
      <c r="I68" s="23">
        <f>4.43+5.72+2.61</f>
        <v>12.759999999999998</v>
      </c>
      <c r="J68" s="23">
        <v>9</v>
      </c>
      <c r="K68" s="23">
        <v>0.05</v>
      </c>
      <c r="L68" s="23">
        <v>3</v>
      </c>
      <c r="M68" s="23">
        <v>0.01</v>
      </c>
      <c r="R68" s="23">
        <v>1</v>
      </c>
      <c r="S68" s="23" t="s">
        <v>21</v>
      </c>
      <c r="T68" s="23">
        <v>6</v>
      </c>
      <c r="U68" s="23" t="s">
        <v>21</v>
      </c>
      <c r="X68" s="23">
        <v>1</v>
      </c>
      <c r="Y68" s="23">
        <v>0.02</v>
      </c>
      <c r="Z68" s="23">
        <v>14</v>
      </c>
      <c r="AA68" s="23">
        <v>0.1</v>
      </c>
      <c r="AF68" s="23">
        <v>4</v>
      </c>
      <c r="AG68" s="23">
        <v>0.01</v>
      </c>
      <c r="AP68" s="23">
        <v>2</v>
      </c>
      <c r="AQ68" s="23">
        <v>1</v>
      </c>
      <c r="AY68" s="23">
        <v>1</v>
      </c>
      <c r="BA68" s="23">
        <v>3</v>
      </c>
      <c r="BS68" s="23">
        <v>1</v>
      </c>
      <c r="CA68" s="23">
        <v>14</v>
      </c>
      <c r="CD68" s="23">
        <v>15</v>
      </c>
    </row>
    <row r="69" spans="1:82" x14ac:dyDescent="0.2">
      <c r="A69" s="23" t="s">
        <v>307</v>
      </c>
      <c r="B69" s="25" t="s">
        <v>291</v>
      </c>
      <c r="C69" s="23" t="s">
        <v>44</v>
      </c>
      <c r="D69" s="23" t="s">
        <v>297</v>
      </c>
      <c r="E69" s="23">
        <f>4.43+38.4+2.45</f>
        <v>45.28</v>
      </c>
      <c r="F69" s="23">
        <f>2.28+0.93</f>
        <v>3.21</v>
      </c>
      <c r="G69" s="23">
        <f>15.81+1.37</f>
        <v>17.18</v>
      </c>
      <c r="H69" s="23">
        <v>15.02</v>
      </c>
      <c r="I69" s="23">
        <f>2.06+4.85+2.45</f>
        <v>9.36</v>
      </c>
      <c r="J69" s="23">
        <v>6</v>
      </c>
      <c r="K69" s="23">
        <v>0.04</v>
      </c>
      <c r="L69" s="23">
        <v>3</v>
      </c>
      <c r="M69" s="23" t="s">
        <v>21</v>
      </c>
      <c r="R69" s="23">
        <v>8</v>
      </c>
      <c r="S69" s="23">
        <v>0.04</v>
      </c>
      <c r="T69" s="23">
        <v>5</v>
      </c>
      <c r="U69" s="23">
        <v>0.01</v>
      </c>
      <c r="Z69" s="23">
        <v>14</v>
      </c>
      <c r="AA69" s="23">
        <v>0.12</v>
      </c>
      <c r="AD69" s="23">
        <v>2</v>
      </c>
      <c r="AE69" s="23" t="s">
        <v>21</v>
      </c>
      <c r="AF69" s="23">
        <v>3</v>
      </c>
      <c r="AG69" s="23" t="s">
        <v>21</v>
      </c>
      <c r="AZ69" s="23">
        <v>1</v>
      </c>
      <c r="BA69" s="23">
        <v>4</v>
      </c>
      <c r="BI69" s="23">
        <v>1</v>
      </c>
      <c r="BR69" s="23">
        <v>1</v>
      </c>
      <c r="BU69" s="23">
        <v>1</v>
      </c>
      <c r="CA69" s="23">
        <v>6</v>
      </c>
      <c r="CD69" s="23">
        <v>19</v>
      </c>
    </row>
    <row r="70" spans="1:82" x14ac:dyDescent="0.2">
      <c r="A70" s="23" t="s">
        <v>308</v>
      </c>
      <c r="B70" s="25" t="s">
        <v>291</v>
      </c>
      <c r="C70" s="23" t="s">
        <v>46</v>
      </c>
      <c r="D70" s="23" t="s">
        <v>297</v>
      </c>
      <c r="E70" s="23">
        <f>5.1+0.78+50.27+4.17+0.09</f>
        <v>60.410000000000011</v>
      </c>
      <c r="F70" s="23">
        <f>4.19+1.94</f>
        <v>6.1300000000000008</v>
      </c>
      <c r="G70" s="23">
        <f>20.45+1.54</f>
        <v>21.99</v>
      </c>
      <c r="H70" s="23">
        <f>18.65+4.17+0.09</f>
        <v>22.91</v>
      </c>
      <c r="I70" s="23">
        <f>6.49+1.52+0.78</f>
        <v>8.7899999999999991</v>
      </c>
      <c r="J70" s="23">
        <v>11</v>
      </c>
      <c r="K70" s="23">
        <v>0.08</v>
      </c>
      <c r="L70" s="23">
        <v>11</v>
      </c>
      <c r="M70" s="23">
        <v>0.04</v>
      </c>
      <c r="R70" s="23">
        <v>13</v>
      </c>
      <c r="S70" s="23">
        <v>0.04</v>
      </c>
      <c r="T70" s="23">
        <v>6</v>
      </c>
      <c r="U70" s="23" t="s">
        <v>21</v>
      </c>
      <c r="Z70" s="23">
        <v>16</v>
      </c>
      <c r="AA70" s="23">
        <v>0.12</v>
      </c>
      <c r="AF70" s="23">
        <v>3</v>
      </c>
      <c r="AG70" s="23">
        <v>0.01</v>
      </c>
      <c r="AP70" s="23">
        <v>3</v>
      </c>
      <c r="BA70" s="23">
        <v>3</v>
      </c>
      <c r="BF70" s="23">
        <v>1</v>
      </c>
      <c r="BJ70" s="23">
        <v>1</v>
      </c>
      <c r="CA70" s="23">
        <v>8</v>
      </c>
      <c r="CD70" s="23">
        <v>10</v>
      </c>
    </row>
    <row r="71" spans="1:82" x14ac:dyDescent="0.2">
      <c r="A71" s="23" t="s">
        <v>309</v>
      </c>
      <c r="B71" s="25" t="s">
        <v>291</v>
      </c>
      <c r="C71" s="23" t="s">
        <v>220</v>
      </c>
      <c r="D71" s="23" t="s">
        <v>297</v>
      </c>
      <c r="E71" s="23">
        <f>3.65+33.13+0.65</f>
        <v>37.43</v>
      </c>
      <c r="F71" s="23">
        <f>3.12+0.76</f>
        <v>3.88</v>
      </c>
      <c r="G71" s="23">
        <f>15.73+1.08</f>
        <v>16.810000000000002</v>
      </c>
      <c r="H71" s="23">
        <v>8.91</v>
      </c>
      <c r="I71" s="23">
        <f>5.04+1.86+0.65</f>
        <v>7.5500000000000007</v>
      </c>
      <c r="J71" s="23">
        <v>8</v>
      </c>
      <c r="K71" s="23">
        <v>7.0000000000000007E-2</v>
      </c>
      <c r="L71" s="23">
        <v>3</v>
      </c>
      <c r="M71" s="23" t="s">
        <v>21</v>
      </c>
      <c r="R71" s="23">
        <v>3</v>
      </c>
      <c r="S71" s="23">
        <v>0.02</v>
      </c>
      <c r="T71" s="23">
        <v>7</v>
      </c>
      <c r="U71" s="23" t="s">
        <v>21</v>
      </c>
      <c r="Z71" s="23">
        <v>7</v>
      </c>
      <c r="AA71" s="23">
        <v>0.12</v>
      </c>
      <c r="AF71" s="23">
        <v>3</v>
      </c>
      <c r="AG71" s="23" t="s">
        <v>21</v>
      </c>
      <c r="AY71" s="23">
        <v>1</v>
      </c>
      <c r="BA71" s="23">
        <v>3</v>
      </c>
      <c r="BI71" s="23">
        <v>2</v>
      </c>
      <c r="BL71" s="23">
        <v>1</v>
      </c>
      <c r="BY71" s="23">
        <v>1</v>
      </c>
      <c r="CA71" s="23">
        <v>8</v>
      </c>
      <c r="CB71" s="23">
        <v>5</v>
      </c>
      <c r="CD71" s="23">
        <v>17</v>
      </c>
    </row>
    <row r="72" spans="1:82" x14ac:dyDescent="0.2">
      <c r="A72" s="23" t="s">
        <v>311</v>
      </c>
      <c r="B72" s="25" t="s">
        <v>291</v>
      </c>
      <c r="C72" s="23" t="s">
        <v>312</v>
      </c>
      <c r="D72" s="23" t="s">
        <v>297</v>
      </c>
      <c r="E72" s="23">
        <f>0.19+5.04</f>
        <v>5.23</v>
      </c>
      <c r="F72" s="23">
        <v>0.66</v>
      </c>
      <c r="G72" s="23">
        <v>2.2599999999999998</v>
      </c>
      <c r="H72" s="23">
        <v>0.89</v>
      </c>
      <c r="I72" s="23">
        <v>1.28</v>
      </c>
      <c r="L72" s="23">
        <v>1</v>
      </c>
      <c r="M72" s="23">
        <v>0.01</v>
      </c>
      <c r="Z72" s="23">
        <v>4</v>
      </c>
      <c r="AA72" s="23">
        <v>0.13</v>
      </c>
    </row>
    <row r="73" spans="1:82" x14ac:dyDescent="0.2">
      <c r="A73" s="23" t="s">
        <v>313</v>
      </c>
      <c r="B73" s="25" t="s">
        <v>291</v>
      </c>
      <c r="C73" s="23" t="s">
        <v>224</v>
      </c>
      <c r="D73" s="23" t="s">
        <v>297</v>
      </c>
      <c r="E73" s="23">
        <f>1.53+0.12+26.75</f>
        <v>28.4</v>
      </c>
      <c r="F73" s="23">
        <f>1.42</f>
        <v>1.42</v>
      </c>
      <c r="G73" s="23">
        <f>5.48</f>
        <v>5.48</v>
      </c>
      <c r="H73" s="23">
        <v>18.98</v>
      </c>
      <c r="I73" s="23">
        <f>1.82+0.47</f>
        <v>2.29</v>
      </c>
      <c r="J73" s="23">
        <v>2</v>
      </c>
      <c r="K73" s="23">
        <v>0.02</v>
      </c>
      <c r="L73" s="23">
        <v>3</v>
      </c>
      <c r="M73" s="23" t="s">
        <v>21</v>
      </c>
      <c r="R73" s="23">
        <v>5</v>
      </c>
      <c r="S73" s="23">
        <v>0.01</v>
      </c>
      <c r="T73" s="23">
        <v>11</v>
      </c>
      <c r="U73" s="23">
        <v>0.01</v>
      </c>
      <c r="Z73" s="23">
        <v>6</v>
      </c>
      <c r="AA73" s="23">
        <v>0.03</v>
      </c>
      <c r="AF73" s="23">
        <v>2</v>
      </c>
      <c r="AG73" s="23" t="s">
        <v>21</v>
      </c>
      <c r="BE73" s="23">
        <v>1</v>
      </c>
      <c r="BY73" s="23">
        <v>1</v>
      </c>
      <c r="CA73" s="23">
        <v>6</v>
      </c>
    </row>
    <row r="74" spans="1:82" x14ac:dyDescent="0.2">
      <c r="A74" s="23" t="s">
        <v>314</v>
      </c>
      <c r="B74" s="25" t="s">
        <v>291</v>
      </c>
      <c r="C74" s="23" t="s">
        <v>131</v>
      </c>
      <c r="D74" s="23" t="s">
        <v>297</v>
      </c>
      <c r="E74" s="23">
        <f>1.16+8.82</f>
        <v>9.98</v>
      </c>
      <c r="F74" s="23">
        <f>1.18</f>
        <v>1.18</v>
      </c>
      <c r="G74" s="23">
        <f>4.18+0.35</f>
        <v>4.5299999999999994</v>
      </c>
      <c r="H74" s="23">
        <f>2.61</f>
        <v>2.61</v>
      </c>
      <c r="I74" s="23">
        <f>1.56</f>
        <v>1.56</v>
      </c>
      <c r="J74" s="23">
        <v>3</v>
      </c>
      <c r="K74" s="23">
        <v>0.01</v>
      </c>
      <c r="L74" s="23">
        <v>4</v>
      </c>
      <c r="M74" s="23" t="s">
        <v>21</v>
      </c>
      <c r="T74" s="23">
        <v>2</v>
      </c>
      <c r="U74" s="23" t="s">
        <v>21</v>
      </c>
      <c r="Z74" s="23">
        <v>2</v>
      </c>
      <c r="AA74" s="23">
        <v>0.01</v>
      </c>
      <c r="AF74" s="23">
        <v>1</v>
      </c>
      <c r="AG74" s="23" t="s">
        <v>21</v>
      </c>
    </row>
    <row r="75" spans="1:82" x14ac:dyDescent="0.2">
      <c r="A75" s="23" t="s">
        <v>315</v>
      </c>
      <c r="B75" s="25" t="s">
        <v>291</v>
      </c>
      <c r="C75" s="23" t="s">
        <v>199</v>
      </c>
      <c r="D75" s="23" t="s">
        <v>297</v>
      </c>
      <c r="E75" s="23">
        <f>1.53+12.68+10.02</f>
        <v>24.229999999999997</v>
      </c>
      <c r="F75" s="23">
        <f>0.76+0.81</f>
        <v>1.57</v>
      </c>
      <c r="G75" s="23">
        <f>3.85+0.44</f>
        <v>4.29</v>
      </c>
      <c r="H75" s="23">
        <f>4.25+12.68</f>
        <v>16.93</v>
      </c>
      <c r="I75" s="23">
        <f>0.25+0.97</f>
        <v>1.22</v>
      </c>
      <c r="J75" s="23">
        <v>5</v>
      </c>
      <c r="K75" s="23">
        <v>0.05</v>
      </c>
      <c r="L75" s="23">
        <v>3</v>
      </c>
      <c r="M75" s="23" t="s">
        <v>21</v>
      </c>
      <c r="R75" s="23">
        <v>1</v>
      </c>
      <c r="S75" s="23" t="s">
        <v>21</v>
      </c>
      <c r="T75" s="23">
        <v>5</v>
      </c>
      <c r="U75" s="23" t="s">
        <v>21</v>
      </c>
      <c r="Z75" s="23">
        <v>11</v>
      </c>
      <c r="AA75" s="23">
        <v>0.12</v>
      </c>
      <c r="AD75" s="23">
        <v>3</v>
      </c>
      <c r="AE75" s="23">
        <v>0.02</v>
      </c>
      <c r="AQ75" s="23">
        <v>1</v>
      </c>
      <c r="BU75" s="23">
        <v>1</v>
      </c>
      <c r="CA75" s="23">
        <v>4</v>
      </c>
    </row>
    <row r="76" spans="1:82" x14ac:dyDescent="0.2">
      <c r="A76" s="23" t="s">
        <v>316</v>
      </c>
      <c r="B76" s="25" t="s">
        <v>291</v>
      </c>
      <c r="C76" s="23" t="s">
        <v>279</v>
      </c>
      <c r="D76" s="23" t="s">
        <v>297</v>
      </c>
      <c r="E76" s="23">
        <f>2.22+0.55+12.06</f>
        <v>14.830000000000002</v>
      </c>
      <c r="F76" s="23">
        <f>1.13+0.83</f>
        <v>1.96</v>
      </c>
      <c r="G76" s="23">
        <f>5.14+0.57</f>
        <v>5.71</v>
      </c>
      <c r="H76" s="23">
        <f>3.08+0.55</f>
        <v>3.63</v>
      </c>
      <c r="I76" s="23">
        <f>0.81+2.47</f>
        <v>3.2800000000000002</v>
      </c>
      <c r="J76" s="23">
        <v>1</v>
      </c>
      <c r="K76" s="23" t="s">
        <v>21</v>
      </c>
      <c r="L76" s="23">
        <v>8</v>
      </c>
      <c r="M76" s="23">
        <v>0.02</v>
      </c>
      <c r="R76" s="23">
        <v>2</v>
      </c>
      <c r="S76" s="23">
        <v>0.01</v>
      </c>
      <c r="AB76" s="23">
        <v>1</v>
      </c>
      <c r="AC76" s="23">
        <v>0.05</v>
      </c>
      <c r="AD76" s="23">
        <v>8</v>
      </c>
      <c r="AE76" s="23">
        <v>0.05</v>
      </c>
      <c r="AF76" s="23">
        <v>5</v>
      </c>
      <c r="AG76" s="23">
        <v>0.03</v>
      </c>
      <c r="AP76" s="23">
        <v>1</v>
      </c>
      <c r="AZ76" s="23">
        <v>1</v>
      </c>
      <c r="BA76" s="23">
        <v>3</v>
      </c>
      <c r="BJ76" s="23">
        <v>2</v>
      </c>
      <c r="CA76" s="23">
        <v>4</v>
      </c>
      <c r="CD76" s="23">
        <v>2</v>
      </c>
    </row>
    <row r="77" spans="1:82" x14ac:dyDescent="0.2">
      <c r="A77" s="23" t="s">
        <v>317</v>
      </c>
      <c r="B77" s="25" t="s">
        <v>291</v>
      </c>
      <c r="C77" s="23" t="s">
        <v>274</v>
      </c>
      <c r="D77" s="23" t="s">
        <v>297</v>
      </c>
      <c r="E77" s="23">
        <f>4.58+18.86+0.53</f>
        <v>23.97</v>
      </c>
      <c r="F77" s="23">
        <f>2.11</f>
        <v>2.11</v>
      </c>
      <c r="G77" s="23">
        <f>5.36+0.93</f>
        <v>6.29</v>
      </c>
      <c r="H77" s="23">
        <f>10.04+0.33</f>
        <v>10.37</v>
      </c>
      <c r="I77" s="23">
        <f>2.52+2.28+0.2</f>
        <v>5</v>
      </c>
      <c r="J77" s="23">
        <v>3</v>
      </c>
      <c r="K77" s="23">
        <v>0.02</v>
      </c>
      <c r="L77" s="23">
        <v>5</v>
      </c>
      <c r="M77" s="23">
        <v>7.0000000000000007E-2</v>
      </c>
      <c r="R77" s="23">
        <v>4</v>
      </c>
      <c r="S77" s="23">
        <v>0.01</v>
      </c>
      <c r="Z77" s="23">
        <v>7</v>
      </c>
      <c r="AA77" s="23">
        <v>7.0000000000000007E-2</v>
      </c>
      <c r="AX77" s="23">
        <v>1</v>
      </c>
      <c r="AY77" s="23">
        <v>1</v>
      </c>
      <c r="BJ77" s="23">
        <v>1</v>
      </c>
      <c r="CA77" s="23">
        <v>5</v>
      </c>
    </row>
    <row r="78" spans="1:82" x14ac:dyDescent="0.2">
      <c r="A78" s="23" t="s">
        <v>318</v>
      </c>
      <c r="B78" s="25" t="s">
        <v>291</v>
      </c>
      <c r="C78" s="23" t="s">
        <v>186</v>
      </c>
      <c r="D78" s="23" t="s">
        <v>297</v>
      </c>
      <c r="E78" s="23">
        <f>0.59+3.66</f>
        <v>4.25</v>
      </c>
      <c r="F78" s="23">
        <v>0.89</v>
      </c>
      <c r="G78" s="23">
        <v>2.0499999999999998</v>
      </c>
      <c r="H78" s="23">
        <v>0.75</v>
      </c>
      <c r="I78" s="23">
        <v>0.5</v>
      </c>
      <c r="J78" s="23">
        <v>1</v>
      </c>
      <c r="K78" s="23" t="s">
        <v>21</v>
      </c>
      <c r="L78" s="23">
        <v>4</v>
      </c>
      <c r="M78" s="23">
        <v>0.01</v>
      </c>
      <c r="T78" s="23">
        <v>1</v>
      </c>
      <c r="U78" s="23" t="s">
        <v>21</v>
      </c>
      <c r="Z78" s="23">
        <v>2</v>
      </c>
      <c r="AA78" s="23" t="s">
        <v>21</v>
      </c>
    </row>
    <row r="79" spans="1:82" x14ac:dyDescent="0.2">
      <c r="A79" s="23" t="s">
        <v>319</v>
      </c>
      <c r="B79" s="25" t="s">
        <v>291</v>
      </c>
      <c r="C79" s="23" t="s">
        <v>240</v>
      </c>
      <c r="D79" s="23" t="s">
        <v>297</v>
      </c>
      <c r="E79" s="23">
        <v>1.5</v>
      </c>
      <c r="F79" s="23">
        <v>0.11</v>
      </c>
      <c r="G79" s="23">
        <v>0.82</v>
      </c>
      <c r="H79" s="23">
        <v>0.45</v>
      </c>
      <c r="I79" s="23">
        <v>0.11</v>
      </c>
      <c r="AD79" s="23">
        <v>1</v>
      </c>
      <c r="AE79" s="23" t="s">
        <v>21</v>
      </c>
    </row>
    <row r="80" spans="1:82" x14ac:dyDescent="0.2">
      <c r="A80" s="23" t="s">
        <v>320</v>
      </c>
      <c r="B80" s="25" t="s">
        <v>291</v>
      </c>
      <c r="C80" s="23" t="s">
        <v>116</v>
      </c>
      <c r="D80" s="23" t="s">
        <v>297</v>
      </c>
      <c r="E80" s="23">
        <f>4.42+0.69</f>
        <v>5.1099999999999994</v>
      </c>
      <c r="F80" s="23">
        <f>0.51+0.37</f>
        <v>0.88</v>
      </c>
      <c r="G80" s="23">
        <v>1.97</v>
      </c>
      <c r="H80" s="23">
        <v>1.18</v>
      </c>
      <c r="I80" s="23">
        <f>0.76+0.18</f>
        <v>0.94</v>
      </c>
      <c r="J80" s="23">
        <v>2</v>
      </c>
      <c r="K80" s="23">
        <v>0.01</v>
      </c>
      <c r="L80" s="23">
        <v>2</v>
      </c>
      <c r="M80" s="23" t="s">
        <v>21</v>
      </c>
      <c r="T80" s="23">
        <v>1</v>
      </c>
      <c r="U80" s="23" t="s">
        <v>21</v>
      </c>
      <c r="Z80" s="23">
        <v>6</v>
      </c>
      <c r="AA80" s="23">
        <v>0.08</v>
      </c>
      <c r="AF80" s="23">
        <v>1</v>
      </c>
      <c r="AG80" s="23" t="s">
        <v>21</v>
      </c>
      <c r="CA80" s="23">
        <v>3</v>
      </c>
    </row>
    <row r="81" spans="1:82" x14ac:dyDescent="0.2">
      <c r="A81" s="23" t="s">
        <v>321</v>
      </c>
      <c r="B81" s="25" t="s">
        <v>291</v>
      </c>
      <c r="C81" s="23" t="s">
        <v>158</v>
      </c>
      <c r="D81" s="23" t="s">
        <v>297</v>
      </c>
      <c r="E81" s="23">
        <f>1.87+11.55+0.66</f>
        <v>14.080000000000002</v>
      </c>
      <c r="F81" s="23">
        <f>1.69+0.46</f>
        <v>2.15</v>
      </c>
      <c r="G81" s="23">
        <f>5.15+0.39</f>
        <v>5.54</v>
      </c>
      <c r="H81" s="23">
        <v>3.7</v>
      </c>
      <c r="I81" s="23">
        <f>0.9+0.66+1</f>
        <v>2.56</v>
      </c>
      <c r="J81" s="23">
        <v>1</v>
      </c>
      <c r="K81" s="23">
        <v>0.01</v>
      </c>
      <c r="L81" s="23">
        <v>7</v>
      </c>
      <c r="M81" s="23">
        <v>0.02</v>
      </c>
      <c r="Z81" s="23">
        <v>6</v>
      </c>
      <c r="AA81" s="23">
        <v>0.05</v>
      </c>
      <c r="AD81" s="23">
        <v>2</v>
      </c>
      <c r="AE81" s="23" t="s">
        <v>21</v>
      </c>
      <c r="AF81" s="23">
        <v>2</v>
      </c>
      <c r="AG81" s="23" t="s">
        <v>21</v>
      </c>
      <c r="BK81" s="23">
        <v>1</v>
      </c>
      <c r="CA81" s="23">
        <v>2</v>
      </c>
    </row>
    <row r="82" spans="1:82" x14ac:dyDescent="0.2">
      <c r="A82" s="23" t="s">
        <v>322</v>
      </c>
      <c r="B82" s="25" t="s">
        <v>291</v>
      </c>
      <c r="C82" s="23" t="s">
        <v>264</v>
      </c>
      <c r="D82" s="23" t="s">
        <v>297</v>
      </c>
      <c r="E82" s="23">
        <f>2.39+0.26</f>
        <v>2.6500000000000004</v>
      </c>
      <c r="F82" s="23">
        <f>0.58+0.13</f>
        <v>0.71</v>
      </c>
      <c r="G82" s="23">
        <f>1.63</f>
        <v>1.63</v>
      </c>
      <c r="H82" s="23">
        <f>0.16</f>
        <v>0.16</v>
      </c>
      <c r="I82" s="23">
        <f>0.13</f>
        <v>0.13</v>
      </c>
      <c r="L82" s="23">
        <v>1</v>
      </c>
      <c r="M82" s="23" t="s">
        <v>21</v>
      </c>
      <c r="BK82" s="23">
        <v>1</v>
      </c>
    </row>
    <row r="83" spans="1:82" x14ac:dyDescent="0.2">
      <c r="A83" s="23" t="s">
        <v>323</v>
      </c>
      <c r="B83" s="25" t="s">
        <v>324</v>
      </c>
      <c r="C83" s="23" t="s">
        <v>59</v>
      </c>
      <c r="D83" s="23" t="s">
        <v>297</v>
      </c>
      <c r="E83" s="23">
        <f>1.85+21.79</f>
        <v>23.64</v>
      </c>
      <c r="F83" s="23">
        <f>4.72+0.82</f>
        <v>5.54</v>
      </c>
      <c r="G83" s="23">
        <f>9.77+0.67</f>
        <v>10.44</v>
      </c>
      <c r="H83" s="23">
        <f>4.96</f>
        <v>4.96</v>
      </c>
      <c r="I83" s="23">
        <f>2.07+0.27</f>
        <v>2.34</v>
      </c>
      <c r="J83" s="23">
        <v>2</v>
      </c>
      <c r="K83" s="23">
        <v>0.02</v>
      </c>
      <c r="L83" s="23">
        <v>12</v>
      </c>
      <c r="M83" s="23">
        <v>0.03</v>
      </c>
      <c r="T83" s="23">
        <v>6</v>
      </c>
      <c r="U83" s="23" t="s">
        <v>21</v>
      </c>
      <c r="Z83" s="23">
        <v>10</v>
      </c>
      <c r="AA83" s="23">
        <v>0.05</v>
      </c>
      <c r="AZ83" s="23">
        <v>1</v>
      </c>
      <c r="BI83" s="23">
        <v>2</v>
      </c>
      <c r="BK83" s="23">
        <v>1</v>
      </c>
      <c r="BQ83" s="23">
        <v>15</v>
      </c>
      <c r="BS83" s="23">
        <v>1</v>
      </c>
      <c r="CA83" s="23">
        <v>1</v>
      </c>
      <c r="CD83" s="23">
        <v>91</v>
      </c>
    </row>
    <row r="84" spans="1:82" x14ac:dyDescent="0.2">
      <c r="A84" s="23" t="s">
        <v>325</v>
      </c>
      <c r="B84" s="25" t="s">
        <v>324</v>
      </c>
      <c r="C84" s="23" t="s">
        <v>326</v>
      </c>
      <c r="D84" s="23" t="s">
        <v>297</v>
      </c>
      <c r="E84" s="23">
        <f>2.69+19.26</f>
        <v>21.950000000000003</v>
      </c>
      <c r="F84" s="23">
        <f>2.22+0.96</f>
        <v>3.18</v>
      </c>
      <c r="G84" s="23">
        <f>6.88+0.8</f>
        <v>7.68</v>
      </c>
      <c r="H84" s="23">
        <v>7.78</v>
      </c>
      <c r="I84" s="23">
        <f>2.15+0.78</f>
        <v>2.9299999999999997</v>
      </c>
      <c r="J84" s="23">
        <v>5</v>
      </c>
      <c r="K84" s="23">
        <v>7.0000000000000007E-2</v>
      </c>
      <c r="L84" s="23">
        <v>10</v>
      </c>
      <c r="M84" s="23">
        <v>0.06</v>
      </c>
      <c r="R84" s="23">
        <v>12</v>
      </c>
      <c r="S84" s="23">
        <v>0.13</v>
      </c>
      <c r="Z84" s="23">
        <v>12</v>
      </c>
      <c r="AA84" s="23">
        <v>0.06</v>
      </c>
      <c r="AP84" s="23">
        <v>1</v>
      </c>
      <c r="BE84" s="23">
        <v>1</v>
      </c>
      <c r="BQ84" s="23">
        <v>1</v>
      </c>
      <c r="CA84" s="23">
        <v>5</v>
      </c>
      <c r="CD84" s="23">
        <v>120</v>
      </c>
    </row>
    <row r="85" spans="1:82" x14ac:dyDescent="0.2">
      <c r="A85" s="23" t="s">
        <v>327</v>
      </c>
      <c r="B85" s="25" t="s">
        <v>324</v>
      </c>
      <c r="C85" s="23" t="s">
        <v>69</v>
      </c>
      <c r="D85" s="23" t="s">
        <v>297</v>
      </c>
      <c r="E85" s="23">
        <f>0.99+0.96+5.01</f>
        <v>6.96</v>
      </c>
      <c r="F85" s="23">
        <v>0.76</v>
      </c>
      <c r="G85" s="23">
        <v>2.5</v>
      </c>
      <c r="H85" s="23">
        <v>1.4</v>
      </c>
      <c r="I85" s="23">
        <f>0.4+0.96+0.82</f>
        <v>2.1799999999999997</v>
      </c>
      <c r="J85" s="23">
        <v>2</v>
      </c>
      <c r="K85" s="23">
        <v>0.02</v>
      </c>
      <c r="L85" s="23">
        <v>3</v>
      </c>
      <c r="M85" s="23">
        <v>0.02</v>
      </c>
      <c r="T85" s="23">
        <v>2</v>
      </c>
      <c r="U85" s="23" t="s">
        <v>21</v>
      </c>
      <c r="Z85" s="23">
        <v>5</v>
      </c>
      <c r="AA85" s="23">
        <v>0.04</v>
      </c>
      <c r="AF85" s="23">
        <v>2</v>
      </c>
      <c r="AG85" s="23" t="s">
        <v>21</v>
      </c>
      <c r="BE85" s="23">
        <v>1</v>
      </c>
      <c r="CA85" s="23">
        <v>1</v>
      </c>
      <c r="CD85" s="23">
        <v>30</v>
      </c>
    </row>
    <row r="86" spans="1:82" x14ac:dyDescent="0.2">
      <c r="A86" s="23" t="s">
        <v>328</v>
      </c>
      <c r="B86" s="25" t="s">
        <v>324</v>
      </c>
      <c r="C86" s="23" t="s">
        <v>72</v>
      </c>
      <c r="D86" s="23" t="s">
        <v>297</v>
      </c>
      <c r="E86" s="23">
        <f>1.99+1.66+20.35</f>
        <v>24</v>
      </c>
      <c r="F86" s="23">
        <f>2.92+0.58</f>
        <v>3.5</v>
      </c>
      <c r="G86" s="23">
        <f>10.27+0.47</f>
        <v>10.74</v>
      </c>
      <c r="H86" s="23">
        <f>4.52</f>
        <v>4.5199999999999996</v>
      </c>
      <c r="I86" s="23">
        <f>0.91+1.66+2.43</f>
        <v>5</v>
      </c>
      <c r="L86" s="23">
        <v>4</v>
      </c>
      <c r="M86" s="23">
        <v>0.03</v>
      </c>
      <c r="R86" s="23">
        <v>2</v>
      </c>
      <c r="S86" s="23" t="s">
        <v>21</v>
      </c>
      <c r="T86" s="23">
        <v>2</v>
      </c>
      <c r="U86" s="23" t="s">
        <v>21</v>
      </c>
      <c r="Z86" s="23">
        <v>12</v>
      </c>
      <c r="AA86" s="23">
        <v>0.11</v>
      </c>
      <c r="AZ86" s="23">
        <v>1</v>
      </c>
      <c r="BE86" s="23">
        <v>1</v>
      </c>
      <c r="BQ86" s="23">
        <v>1</v>
      </c>
      <c r="CA86" s="23">
        <v>3</v>
      </c>
      <c r="CD86" s="23">
        <v>86</v>
      </c>
    </row>
    <row r="87" spans="1:82" x14ac:dyDescent="0.2">
      <c r="A87" s="23" t="s">
        <v>329</v>
      </c>
      <c r="B87" s="25" t="s">
        <v>324</v>
      </c>
      <c r="C87" s="23" t="s">
        <v>89</v>
      </c>
      <c r="D87" s="23" t="s">
        <v>297</v>
      </c>
      <c r="E87" s="23">
        <f>0.42+8.14</f>
        <v>8.56</v>
      </c>
      <c r="F87" s="23">
        <v>0.7</v>
      </c>
      <c r="G87" s="23">
        <v>3.91</v>
      </c>
      <c r="H87" s="23">
        <v>3.26</v>
      </c>
      <c r="I87" s="23">
        <v>0.64</v>
      </c>
      <c r="L87" s="23">
        <v>1</v>
      </c>
      <c r="M87" s="23" t="s">
        <v>21</v>
      </c>
      <c r="R87" s="23">
        <v>1</v>
      </c>
      <c r="S87" s="23" t="s">
        <v>21</v>
      </c>
      <c r="Z87" s="23">
        <v>1</v>
      </c>
      <c r="AA87" s="23" t="s">
        <v>21</v>
      </c>
      <c r="AP87" s="23">
        <v>2</v>
      </c>
      <c r="BI87" s="23">
        <v>1</v>
      </c>
      <c r="CA87" s="23">
        <v>1</v>
      </c>
      <c r="CD87" s="23">
        <v>32</v>
      </c>
    </row>
    <row r="88" spans="1:82" x14ac:dyDescent="0.2">
      <c r="A88" s="23" t="s">
        <v>330</v>
      </c>
      <c r="B88" s="25" t="s">
        <v>324</v>
      </c>
      <c r="C88" s="23" t="s">
        <v>92</v>
      </c>
      <c r="D88" s="23" t="s">
        <v>297</v>
      </c>
      <c r="E88" s="23">
        <f>2.81+2.71+15.84</f>
        <v>21.36</v>
      </c>
      <c r="F88" s="23">
        <f>0.89+0.58</f>
        <v>1.47</v>
      </c>
      <c r="G88" s="23">
        <f>6.87+0.61</f>
        <v>7.48</v>
      </c>
      <c r="H88" s="23">
        <f>5.08</f>
        <v>5.08</v>
      </c>
      <c r="I88" s="23">
        <f>1.56+2.71+2.85</f>
        <v>7.1199999999999992</v>
      </c>
      <c r="J88" s="23">
        <v>3</v>
      </c>
      <c r="K88" s="23">
        <v>0.03</v>
      </c>
      <c r="L88" s="23">
        <v>7</v>
      </c>
      <c r="M88" s="23">
        <v>0.05</v>
      </c>
      <c r="R88" s="23">
        <v>4</v>
      </c>
      <c r="S88" s="23">
        <v>0.02</v>
      </c>
      <c r="Z88" s="23">
        <v>6</v>
      </c>
      <c r="AA88" s="23">
        <v>0.04</v>
      </c>
      <c r="AQ88" s="23">
        <v>1</v>
      </c>
      <c r="CA88" s="23">
        <v>2</v>
      </c>
      <c r="CD88" s="23">
        <v>95</v>
      </c>
    </row>
    <row r="89" spans="1:82" x14ac:dyDescent="0.2">
      <c r="A89" s="23" t="s">
        <v>331</v>
      </c>
      <c r="B89" s="25" t="s">
        <v>324</v>
      </c>
      <c r="C89" s="23" t="s">
        <v>32</v>
      </c>
      <c r="D89" s="23" t="s">
        <v>297</v>
      </c>
      <c r="E89" s="23">
        <f>1.96+1.33+12.63</f>
        <v>15.920000000000002</v>
      </c>
      <c r="F89" s="23">
        <f>1.87+0.95</f>
        <v>2.8200000000000003</v>
      </c>
      <c r="G89" s="23">
        <f>6.94</f>
        <v>6.94</v>
      </c>
      <c r="H89" s="23">
        <f>2.91</f>
        <v>2.91</v>
      </c>
      <c r="I89" s="23">
        <f>0.34+1.33+1.36</f>
        <v>3.0300000000000002</v>
      </c>
      <c r="L89" s="23">
        <v>3</v>
      </c>
      <c r="M89" s="23" t="s">
        <v>21</v>
      </c>
      <c r="R89" s="23">
        <v>4</v>
      </c>
      <c r="S89" s="23">
        <v>0.04</v>
      </c>
      <c r="T89" s="23">
        <v>6</v>
      </c>
      <c r="U89" s="23">
        <v>0.01</v>
      </c>
      <c r="AD89" s="23">
        <v>11</v>
      </c>
      <c r="AE89" s="23">
        <v>0.03</v>
      </c>
      <c r="AF89" s="23">
        <v>2</v>
      </c>
      <c r="AG89" s="23" t="s">
        <v>21</v>
      </c>
      <c r="AR89" s="23">
        <v>1</v>
      </c>
      <c r="BQ89" s="23">
        <v>5</v>
      </c>
      <c r="BT89" s="23">
        <v>1</v>
      </c>
      <c r="CA89" s="23">
        <v>3</v>
      </c>
      <c r="CD89" s="23">
        <v>109</v>
      </c>
    </row>
    <row r="90" spans="1:82" x14ac:dyDescent="0.2">
      <c r="A90" s="23" t="s">
        <v>332</v>
      </c>
      <c r="B90" s="25" t="s">
        <v>324</v>
      </c>
      <c r="C90" s="23" t="s">
        <v>23</v>
      </c>
      <c r="D90" s="23" t="s">
        <v>297</v>
      </c>
      <c r="E90" s="23">
        <f>1.22+11.62</f>
        <v>12.84</v>
      </c>
      <c r="F90" s="23">
        <f>1.17+0.39</f>
        <v>1.56</v>
      </c>
      <c r="G90" s="23">
        <f>6.26</f>
        <v>6.26</v>
      </c>
      <c r="H90" s="23">
        <f>2.28</f>
        <v>2.2799999999999998</v>
      </c>
      <c r="I90" s="23">
        <f>2.41</f>
        <v>2.41</v>
      </c>
      <c r="J90" s="23">
        <v>3</v>
      </c>
      <c r="K90" s="23">
        <v>0.04</v>
      </c>
      <c r="L90" s="23">
        <v>2</v>
      </c>
      <c r="M90" s="23">
        <v>0.03</v>
      </c>
      <c r="T90" s="23">
        <v>1</v>
      </c>
      <c r="U90" s="23" t="s">
        <v>21</v>
      </c>
      <c r="Z90" s="23">
        <v>10</v>
      </c>
      <c r="AA90" s="23">
        <v>0.08</v>
      </c>
      <c r="AF90" s="23">
        <v>2</v>
      </c>
      <c r="AG90" s="23">
        <v>0.01</v>
      </c>
      <c r="AP90" s="23">
        <v>5</v>
      </c>
      <c r="CA90" s="23">
        <v>1</v>
      </c>
      <c r="CD90" s="23">
        <v>80</v>
      </c>
    </row>
    <row r="91" spans="1:82" x14ac:dyDescent="0.2">
      <c r="A91" s="23" t="s">
        <v>333</v>
      </c>
      <c r="B91" s="25" t="s">
        <v>324</v>
      </c>
      <c r="C91" s="23" t="s">
        <v>102</v>
      </c>
      <c r="D91" s="23" t="s">
        <v>297</v>
      </c>
      <c r="E91" s="23">
        <f>2.07+18.03</f>
        <v>20.100000000000001</v>
      </c>
      <c r="F91" s="23">
        <f>4.23+1.32</f>
        <v>5.5500000000000007</v>
      </c>
      <c r="G91" s="23">
        <f>7.73+0.48</f>
        <v>8.2100000000000009</v>
      </c>
      <c r="H91" s="23">
        <f>4.72</f>
        <v>4.72</v>
      </c>
      <c r="I91" s="23">
        <f>1.32</f>
        <v>1.32</v>
      </c>
      <c r="L91" s="23">
        <v>5</v>
      </c>
      <c r="M91" s="23">
        <v>0.02</v>
      </c>
      <c r="R91" s="23">
        <v>1</v>
      </c>
      <c r="S91" s="23" t="s">
        <v>21</v>
      </c>
      <c r="T91" s="23">
        <v>6</v>
      </c>
      <c r="U91" s="23">
        <v>0.01</v>
      </c>
      <c r="Z91" s="23">
        <v>8</v>
      </c>
      <c r="AA91" s="23">
        <v>0.04</v>
      </c>
      <c r="AF91" s="23">
        <v>1</v>
      </c>
      <c r="AG91" s="23" t="s">
        <v>21</v>
      </c>
      <c r="BQ91" s="23">
        <v>1</v>
      </c>
      <c r="CA91" s="23">
        <v>4</v>
      </c>
      <c r="CD91" s="23">
        <v>52</v>
      </c>
    </row>
    <row r="92" spans="1:82" x14ac:dyDescent="0.2">
      <c r="A92" s="23" t="s">
        <v>334</v>
      </c>
      <c r="B92" s="25" t="s">
        <v>324</v>
      </c>
      <c r="C92" s="23" t="s">
        <v>104</v>
      </c>
      <c r="D92" s="23" t="s">
        <v>297</v>
      </c>
      <c r="E92" s="23">
        <f>0.41+8.19+2.05</f>
        <v>10.649999999999999</v>
      </c>
      <c r="F92" s="23">
        <f>0.2</f>
        <v>0.2</v>
      </c>
      <c r="G92" s="23">
        <f>0.89</f>
        <v>0.89</v>
      </c>
      <c r="H92" s="23">
        <f>0.76</f>
        <v>0.76</v>
      </c>
      <c r="I92" s="23">
        <f>0.24+8.19+0.31</f>
        <v>8.74</v>
      </c>
      <c r="J92" s="23">
        <v>1</v>
      </c>
      <c r="K92" s="23">
        <v>0.03</v>
      </c>
      <c r="R92" s="23">
        <v>1</v>
      </c>
      <c r="S92" s="23">
        <v>0.02</v>
      </c>
      <c r="Z92" s="23">
        <v>6</v>
      </c>
      <c r="AA92" s="23">
        <v>0.02</v>
      </c>
      <c r="AF92" s="23">
        <v>1</v>
      </c>
      <c r="AG92" s="23" t="s">
        <v>21</v>
      </c>
      <c r="CA92" s="23">
        <v>1</v>
      </c>
    </row>
    <row r="93" spans="1:82" x14ac:dyDescent="0.2">
      <c r="A93" s="23" t="s">
        <v>335</v>
      </c>
      <c r="B93" s="25" t="s">
        <v>324</v>
      </c>
      <c r="C93" s="23" t="s">
        <v>35</v>
      </c>
      <c r="D93" s="23" t="s">
        <v>297</v>
      </c>
      <c r="E93" s="23">
        <v>1.51</v>
      </c>
      <c r="F93" s="23">
        <v>0.01</v>
      </c>
      <c r="G93" s="23">
        <v>0.37</v>
      </c>
      <c r="H93" s="23">
        <v>0.69</v>
      </c>
      <c r="I93" s="23">
        <v>0.41</v>
      </c>
      <c r="R93" s="23">
        <v>1</v>
      </c>
      <c r="S93" s="23">
        <v>0.01</v>
      </c>
      <c r="Z93" s="23">
        <v>1</v>
      </c>
      <c r="AA93" s="23">
        <v>0.01</v>
      </c>
    </row>
    <row r="94" spans="1:82" x14ac:dyDescent="0.2">
      <c r="A94" s="23" t="s">
        <v>336</v>
      </c>
      <c r="B94" s="25" t="s">
        <v>324</v>
      </c>
      <c r="C94" s="23" t="s">
        <v>38</v>
      </c>
      <c r="D94" s="23" t="s">
        <v>297</v>
      </c>
      <c r="E94" s="23">
        <f>0.26+0.46+1.79</f>
        <v>2.5099999999999998</v>
      </c>
      <c r="F94" s="23">
        <f>0.17</f>
        <v>0.17</v>
      </c>
      <c r="G94" s="23">
        <f>0.06+0.68</f>
        <v>0.74</v>
      </c>
      <c r="H94" s="23">
        <f>0.53</f>
        <v>0.53</v>
      </c>
      <c r="I94" s="23">
        <f>0.16+0.46+0.37</f>
        <v>0.99</v>
      </c>
      <c r="L94" s="23">
        <v>1</v>
      </c>
      <c r="M94" s="23" t="s">
        <v>21</v>
      </c>
      <c r="Z94" s="23">
        <v>3</v>
      </c>
      <c r="AA94" s="23">
        <v>0.03</v>
      </c>
      <c r="CD94" s="23">
        <v>3</v>
      </c>
    </row>
    <row r="95" spans="1:82" x14ac:dyDescent="0.2">
      <c r="A95" s="23" t="s">
        <v>337</v>
      </c>
      <c r="B95" s="25" t="s">
        <v>324</v>
      </c>
      <c r="C95" s="23" t="s">
        <v>42</v>
      </c>
      <c r="D95" s="23" t="s">
        <v>297</v>
      </c>
      <c r="E95" s="23">
        <f>0.29+0.6</f>
        <v>0.8899999999999999</v>
      </c>
      <c r="F95" s="23">
        <f>0.05</f>
        <v>0.05</v>
      </c>
      <c r="G95" s="23">
        <f>0.26</f>
        <v>0.26</v>
      </c>
      <c r="H95" s="23">
        <f>0.22</f>
        <v>0.22</v>
      </c>
      <c r="I95" s="23">
        <f>0.36</f>
        <v>0.36</v>
      </c>
      <c r="BA95" s="23">
        <v>1</v>
      </c>
    </row>
    <row r="96" spans="1:82" x14ac:dyDescent="0.2">
      <c r="A96" s="23" t="s">
        <v>338</v>
      </c>
      <c r="B96" s="25" t="s">
        <v>324</v>
      </c>
      <c r="C96" s="23" t="s">
        <v>44</v>
      </c>
      <c r="D96" s="23" t="s">
        <v>297</v>
      </c>
      <c r="E96" s="23">
        <f>3.05+0.21+0.85</f>
        <v>4.1099999999999994</v>
      </c>
      <c r="F96" s="23">
        <f>0.16</f>
        <v>0.16</v>
      </c>
      <c r="G96" s="23">
        <f>0.63</f>
        <v>0.63</v>
      </c>
      <c r="H96" s="23">
        <f>2.07</f>
        <v>2.0699999999999998</v>
      </c>
      <c r="I96" s="23">
        <f>0.32+0.05+0.85</f>
        <v>1.22</v>
      </c>
      <c r="L96" s="23">
        <v>2</v>
      </c>
      <c r="M96" s="23" t="s">
        <v>21</v>
      </c>
      <c r="Z96" s="23">
        <v>1</v>
      </c>
      <c r="AA96" s="23" t="s">
        <v>21</v>
      </c>
    </row>
    <row r="97" spans="1:82" x14ac:dyDescent="0.2">
      <c r="A97" s="23" t="s">
        <v>339</v>
      </c>
      <c r="B97" s="25" t="s">
        <v>324</v>
      </c>
      <c r="C97" s="23" t="s">
        <v>131</v>
      </c>
      <c r="D97" s="23" t="s">
        <v>297</v>
      </c>
      <c r="E97" s="23">
        <v>0.04</v>
      </c>
      <c r="G97" s="23">
        <v>0.03</v>
      </c>
      <c r="I97" s="23">
        <v>0.01</v>
      </c>
    </row>
    <row r="98" spans="1:82" x14ac:dyDescent="0.2">
      <c r="A98" s="23" t="s">
        <v>340</v>
      </c>
      <c r="B98" s="25" t="s">
        <v>324</v>
      </c>
      <c r="C98" s="23" t="s">
        <v>133</v>
      </c>
      <c r="D98" s="23" t="s">
        <v>297</v>
      </c>
      <c r="E98" s="23">
        <v>6.49</v>
      </c>
      <c r="F98" s="23">
        <v>0.01</v>
      </c>
      <c r="G98" s="23">
        <v>5.17</v>
      </c>
      <c r="H98" s="23">
        <v>0</v>
      </c>
      <c r="I98" s="23">
        <v>1.31</v>
      </c>
    </row>
    <row r="99" spans="1:82" x14ac:dyDescent="0.2">
      <c r="A99" s="23" t="s">
        <v>341</v>
      </c>
      <c r="B99" s="25" t="s">
        <v>324</v>
      </c>
      <c r="C99" s="23" t="s">
        <v>279</v>
      </c>
      <c r="D99" s="23" t="s">
        <v>297</v>
      </c>
      <c r="E99" s="23">
        <f>3.66+30.06+9.9</f>
        <v>43.62</v>
      </c>
      <c r="F99" s="23">
        <f>1.19+1.72+2.09</f>
        <v>5</v>
      </c>
      <c r="G99" s="23">
        <f>0.95+7.71+7.59</f>
        <v>16.25</v>
      </c>
      <c r="H99" s="23">
        <f>17.04</f>
        <v>17.04</v>
      </c>
      <c r="I99" s="23">
        <f>0.22+3.29+1.42</f>
        <v>4.93</v>
      </c>
      <c r="L99" s="23">
        <v>12</v>
      </c>
      <c r="M99" s="23">
        <v>0.05</v>
      </c>
      <c r="R99" s="23">
        <v>7</v>
      </c>
      <c r="S99" s="23">
        <v>0.05</v>
      </c>
      <c r="T99" s="23">
        <v>6</v>
      </c>
      <c r="U99" s="23">
        <v>0.01</v>
      </c>
      <c r="Z99" s="23">
        <v>17</v>
      </c>
      <c r="AA99" s="23">
        <v>0.14000000000000001</v>
      </c>
      <c r="AF99" s="23">
        <v>2</v>
      </c>
      <c r="AG99" s="23" t="s">
        <v>21</v>
      </c>
      <c r="AP99" s="23">
        <v>1</v>
      </c>
      <c r="AZ99" s="23">
        <v>1</v>
      </c>
      <c r="BA99" s="23">
        <v>1</v>
      </c>
      <c r="BD99" s="23">
        <v>1</v>
      </c>
      <c r="BS99" s="23">
        <v>1</v>
      </c>
      <c r="CA99" s="23">
        <v>5</v>
      </c>
      <c r="CD99" s="23">
        <v>61</v>
      </c>
    </row>
    <row r="100" spans="1:82" x14ac:dyDescent="0.2">
      <c r="A100" s="23" t="s">
        <v>342</v>
      </c>
      <c r="B100" s="25" t="s">
        <v>324</v>
      </c>
      <c r="C100" s="23" t="s">
        <v>343</v>
      </c>
      <c r="D100" s="23" t="s">
        <v>297</v>
      </c>
      <c r="E100" s="23">
        <f>22.26+1.5+0.47</f>
        <v>24.23</v>
      </c>
      <c r="F100" s="23">
        <f>0.43+0.64</f>
        <v>1.07</v>
      </c>
      <c r="G100" s="23">
        <f>9.21+0.43</f>
        <v>9.64</v>
      </c>
      <c r="H100" s="23">
        <f>9.39</f>
        <v>9.39</v>
      </c>
      <c r="I100" s="23">
        <f>2.72+0.57+0.47</f>
        <v>3.76</v>
      </c>
      <c r="J100" s="23">
        <v>1</v>
      </c>
      <c r="K100" s="23">
        <v>0.01</v>
      </c>
      <c r="L100" s="23">
        <v>5</v>
      </c>
      <c r="M100" s="23">
        <v>0.01</v>
      </c>
      <c r="R100" s="23">
        <v>13</v>
      </c>
      <c r="S100" s="23">
        <v>7.0000000000000007E-2</v>
      </c>
      <c r="T100" s="23">
        <v>3</v>
      </c>
      <c r="U100" s="23" t="s">
        <v>21</v>
      </c>
      <c r="Z100" s="23">
        <v>9</v>
      </c>
      <c r="AA100" s="23">
        <v>0.14000000000000001</v>
      </c>
      <c r="AP100" s="23">
        <v>1</v>
      </c>
      <c r="AX100" s="23">
        <v>1</v>
      </c>
      <c r="AZ100" s="23">
        <v>1</v>
      </c>
      <c r="BA100" s="23">
        <v>1</v>
      </c>
      <c r="BJ100" s="23">
        <v>1</v>
      </c>
      <c r="CA100" s="23">
        <v>5</v>
      </c>
      <c r="CD100" s="23">
        <v>55</v>
      </c>
    </row>
    <row r="101" spans="1:82" x14ac:dyDescent="0.2">
      <c r="A101" s="23" t="s">
        <v>344</v>
      </c>
      <c r="B101" s="25" t="s">
        <v>324</v>
      </c>
      <c r="C101" s="23" t="s">
        <v>345</v>
      </c>
      <c r="D101" s="23" t="s">
        <v>297</v>
      </c>
      <c r="E101" s="23">
        <f>22.27+1.74+0.15</f>
        <v>24.159999999999997</v>
      </c>
      <c r="F101" s="23">
        <f>1.52+0.49</f>
        <v>2.0099999999999998</v>
      </c>
      <c r="G101" s="23">
        <f>8.55+0.41</f>
        <v>8.9600000000000009</v>
      </c>
      <c r="H101" s="23">
        <f>7.75</f>
        <v>7.75</v>
      </c>
      <c r="I101" s="23">
        <f>0.72+0.15+3.91</f>
        <v>4.78</v>
      </c>
      <c r="J101" s="23">
        <v>7</v>
      </c>
      <c r="K101" s="23">
        <v>0.08</v>
      </c>
      <c r="L101" s="23">
        <v>13</v>
      </c>
      <c r="M101" s="23">
        <v>0.01</v>
      </c>
      <c r="R101" s="23">
        <v>3</v>
      </c>
      <c r="S101" s="23">
        <v>0.02</v>
      </c>
      <c r="T101" s="23">
        <v>9</v>
      </c>
      <c r="U101" s="23">
        <v>0.01</v>
      </c>
      <c r="Z101" s="23">
        <v>21</v>
      </c>
      <c r="AA101" s="23">
        <v>0.28000000000000003</v>
      </c>
      <c r="AB101" s="23">
        <v>1</v>
      </c>
      <c r="AC101" s="23">
        <v>0.01</v>
      </c>
      <c r="AF101" s="23">
        <v>2</v>
      </c>
      <c r="AG101" s="23" t="s">
        <v>21</v>
      </c>
      <c r="AY101" s="23">
        <v>2</v>
      </c>
      <c r="BA101" s="23">
        <v>1</v>
      </c>
      <c r="BE101" s="23">
        <v>3</v>
      </c>
      <c r="BQ101" s="23">
        <v>1</v>
      </c>
      <c r="BU101" s="23">
        <v>1</v>
      </c>
      <c r="CA101" s="23">
        <v>4</v>
      </c>
      <c r="CD101" s="23">
        <v>12</v>
      </c>
    </row>
    <row r="102" spans="1:82" x14ac:dyDescent="0.2">
      <c r="A102" s="23" t="s">
        <v>346</v>
      </c>
      <c r="B102" s="25" t="s">
        <v>324</v>
      </c>
      <c r="C102" s="23" t="s">
        <v>186</v>
      </c>
      <c r="D102" s="23" t="s">
        <v>297</v>
      </c>
      <c r="E102" s="23">
        <f>2.41+39.36+0.99</f>
        <v>42.76</v>
      </c>
      <c r="F102" s="23">
        <f>2.98+0.7</f>
        <v>3.6799999999999997</v>
      </c>
      <c r="G102" s="23">
        <f>14.22+0.63</f>
        <v>14.850000000000001</v>
      </c>
      <c r="H102" s="23">
        <f>16.94+0.99</f>
        <v>17.93</v>
      </c>
      <c r="I102" s="23">
        <f>0.97+4.73</f>
        <v>5.7</v>
      </c>
      <c r="J102" s="23">
        <v>14</v>
      </c>
      <c r="K102" s="23">
        <v>0.08</v>
      </c>
      <c r="L102" s="23">
        <v>10</v>
      </c>
      <c r="M102" s="23">
        <v>7.0000000000000007E-2</v>
      </c>
      <c r="R102" s="23">
        <v>6</v>
      </c>
      <c r="S102" s="23">
        <v>0.02</v>
      </c>
      <c r="T102" s="23">
        <v>3</v>
      </c>
      <c r="U102" s="23" t="s">
        <v>21</v>
      </c>
      <c r="Z102" s="23">
        <v>12</v>
      </c>
      <c r="AA102" s="23">
        <v>0.09</v>
      </c>
      <c r="AB102" s="23">
        <v>1</v>
      </c>
      <c r="AC102" s="23">
        <v>0.01</v>
      </c>
      <c r="AF102" s="23">
        <v>2</v>
      </c>
      <c r="AG102" s="23" t="s">
        <v>21</v>
      </c>
      <c r="AP102" s="23">
        <v>2</v>
      </c>
      <c r="AQ102" s="23">
        <v>1</v>
      </c>
      <c r="BA102" s="23">
        <v>1</v>
      </c>
      <c r="CA102" s="23">
        <v>3</v>
      </c>
      <c r="CD102" s="23">
        <v>21</v>
      </c>
    </row>
    <row r="103" spans="1:82" x14ac:dyDescent="0.2">
      <c r="A103" s="23" t="s">
        <v>347</v>
      </c>
      <c r="B103" s="25" t="s">
        <v>324</v>
      </c>
      <c r="C103" s="23" t="s">
        <v>348</v>
      </c>
      <c r="D103" s="23" t="s">
        <v>297</v>
      </c>
      <c r="E103" s="23">
        <f>1.81+1.36+25.56+0.38</f>
        <v>29.109999999999996</v>
      </c>
      <c r="F103" s="23">
        <f>1.49+0.4</f>
        <v>1.8900000000000001</v>
      </c>
      <c r="G103" s="23">
        <f>9.84</f>
        <v>9.84</v>
      </c>
      <c r="H103" s="23">
        <f>9.68+0.38</f>
        <v>10.06</v>
      </c>
      <c r="I103" s="23">
        <f>4.55+0.84+1.36</f>
        <v>6.75</v>
      </c>
      <c r="J103" s="23">
        <v>17</v>
      </c>
      <c r="K103" s="23">
        <v>0.14000000000000001</v>
      </c>
      <c r="L103" s="23">
        <v>10</v>
      </c>
      <c r="M103" s="23">
        <v>0.02</v>
      </c>
      <c r="R103" s="23">
        <v>13</v>
      </c>
      <c r="S103" s="23">
        <v>0.06</v>
      </c>
      <c r="T103" s="23">
        <v>27</v>
      </c>
      <c r="U103" s="23">
        <v>0.06</v>
      </c>
      <c r="Z103" s="23">
        <v>4</v>
      </c>
      <c r="AA103" s="23">
        <v>0.04</v>
      </c>
      <c r="AB103" s="23">
        <v>2</v>
      </c>
      <c r="AC103" s="23">
        <v>7.0000000000000007E-2</v>
      </c>
      <c r="AF103" s="23">
        <v>7</v>
      </c>
      <c r="AG103" s="23">
        <v>0.01</v>
      </c>
      <c r="AZ103" s="23">
        <v>1</v>
      </c>
      <c r="BA103" s="23">
        <v>3</v>
      </c>
      <c r="BS103" s="23">
        <v>1</v>
      </c>
      <c r="CA103" s="23">
        <v>7</v>
      </c>
      <c r="CD103" s="23">
        <v>7</v>
      </c>
    </row>
    <row r="104" spans="1:82" x14ac:dyDescent="0.2">
      <c r="A104" s="23" t="s">
        <v>349</v>
      </c>
      <c r="B104" s="25" t="s">
        <v>324</v>
      </c>
      <c r="C104" s="23" t="s">
        <v>350</v>
      </c>
      <c r="D104" s="23" t="s">
        <v>297</v>
      </c>
      <c r="E104" s="23">
        <f>6.99+62.89+4.88</f>
        <v>74.759999999999991</v>
      </c>
      <c r="F104" s="23">
        <f>3.32+1.45</f>
        <v>4.7699999999999996</v>
      </c>
      <c r="G104" s="23">
        <f>25.03+1.9</f>
        <v>26.93</v>
      </c>
      <c r="H104" s="23">
        <f>24.66</f>
        <v>24.66</v>
      </c>
      <c r="I104" s="23">
        <f>3.37+9+4.88</f>
        <v>17.25</v>
      </c>
      <c r="J104" s="23">
        <v>12</v>
      </c>
      <c r="K104" s="23">
        <v>0.08</v>
      </c>
      <c r="L104" s="23">
        <v>9</v>
      </c>
      <c r="M104" s="23">
        <v>0.06</v>
      </c>
      <c r="R104" s="23">
        <v>34</v>
      </c>
      <c r="S104" s="23">
        <v>0.2</v>
      </c>
      <c r="T104" s="23">
        <v>55</v>
      </c>
      <c r="U104" s="23">
        <v>0.14000000000000001</v>
      </c>
      <c r="Z104" s="23">
        <v>22</v>
      </c>
      <c r="AA104" s="23">
        <v>0.23</v>
      </c>
      <c r="AF104" s="23">
        <v>16</v>
      </c>
      <c r="AG104" s="23">
        <v>0.02</v>
      </c>
      <c r="AY104" s="23">
        <v>1</v>
      </c>
      <c r="AZ104" s="23">
        <v>1</v>
      </c>
      <c r="BA104" s="23">
        <v>1</v>
      </c>
      <c r="BJ104" s="23">
        <v>1</v>
      </c>
      <c r="BP104" s="23">
        <v>1</v>
      </c>
      <c r="BS104" s="23">
        <v>2</v>
      </c>
      <c r="CA104" s="23">
        <v>9</v>
      </c>
      <c r="CD104" s="23">
        <v>73</v>
      </c>
    </row>
    <row r="105" spans="1:82" x14ac:dyDescent="0.2">
      <c r="A105" s="23" t="s">
        <v>362</v>
      </c>
      <c r="B105" s="25" t="s">
        <v>324</v>
      </c>
      <c r="C105" s="23" t="s">
        <v>363</v>
      </c>
      <c r="D105" s="23" t="s">
        <v>297</v>
      </c>
      <c r="E105" s="23">
        <f>3.08+17.66+8.08+1.22</f>
        <v>30.04</v>
      </c>
      <c r="F105" s="23">
        <f>2.55+0.7</f>
        <v>3.25</v>
      </c>
      <c r="G105" s="23">
        <f>6.43+0.8</f>
        <v>7.2299999999999995</v>
      </c>
      <c r="H105" s="23">
        <f>5.32+1.22</f>
        <v>6.54</v>
      </c>
      <c r="I105" s="23">
        <f>3.05+1.28+8.08</f>
        <v>12.41</v>
      </c>
      <c r="J105" s="23">
        <v>6</v>
      </c>
      <c r="K105" s="23">
        <v>0.03</v>
      </c>
      <c r="N105" s="23">
        <v>7</v>
      </c>
      <c r="O105" s="23">
        <v>0.01</v>
      </c>
      <c r="R105" s="23">
        <v>28</v>
      </c>
      <c r="S105" s="23">
        <v>0.22</v>
      </c>
      <c r="T105" s="23">
        <v>47</v>
      </c>
      <c r="U105" s="23">
        <v>0.15</v>
      </c>
      <c r="Z105" s="23">
        <v>7</v>
      </c>
      <c r="AA105" s="23">
        <v>0.04</v>
      </c>
      <c r="AF105" s="23">
        <v>8</v>
      </c>
      <c r="AG105" s="23">
        <v>0.01</v>
      </c>
      <c r="AY105" s="23">
        <v>1</v>
      </c>
      <c r="BS105" s="23">
        <v>1</v>
      </c>
      <c r="BU105" s="23">
        <v>1</v>
      </c>
      <c r="CA105" s="23">
        <v>2</v>
      </c>
      <c r="CC105" s="23">
        <v>1</v>
      </c>
      <c r="CD105" s="23">
        <v>4</v>
      </c>
    </row>
    <row r="106" spans="1:82" x14ac:dyDescent="0.2">
      <c r="A106" s="23" t="s">
        <v>364</v>
      </c>
      <c r="B106" s="25" t="s">
        <v>324</v>
      </c>
      <c r="C106" s="23" t="s">
        <v>240</v>
      </c>
      <c r="D106" s="23" t="s">
        <v>297</v>
      </c>
      <c r="E106" s="23">
        <f>14.48+1.85+2.9</f>
        <v>19.23</v>
      </c>
      <c r="F106" s="23">
        <f>0.95+0.79</f>
        <v>1.74</v>
      </c>
      <c r="G106" s="23">
        <f>5.05+0.36</f>
        <v>5.41</v>
      </c>
      <c r="H106" s="23">
        <f>5.01</f>
        <v>5.01</v>
      </c>
      <c r="I106" s="23">
        <f>3.29+0.68+2.9</f>
        <v>6.87</v>
      </c>
      <c r="J106" s="23">
        <v>5</v>
      </c>
      <c r="K106" s="23">
        <v>0.02</v>
      </c>
      <c r="L106" s="23">
        <v>9</v>
      </c>
      <c r="M106" s="23">
        <v>0.02</v>
      </c>
      <c r="R106" s="23">
        <v>2</v>
      </c>
      <c r="S106" s="23">
        <v>0.01</v>
      </c>
      <c r="T106" s="23">
        <v>5</v>
      </c>
      <c r="U106" s="23">
        <v>0.01</v>
      </c>
      <c r="Z106" s="23">
        <v>9</v>
      </c>
      <c r="AA106" s="23">
        <v>0.06</v>
      </c>
      <c r="BA106" s="23">
        <v>2</v>
      </c>
      <c r="CA106" s="23">
        <v>1</v>
      </c>
    </row>
    <row r="107" spans="1:82" x14ac:dyDescent="0.2">
      <c r="A107" s="23" t="s">
        <v>365</v>
      </c>
      <c r="B107" s="25" t="s">
        <v>324</v>
      </c>
      <c r="C107" s="23" t="s">
        <v>203</v>
      </c>
      <c r="D107" s="23" t="s">
        <v>297</v>
      </c>
      <c r="E107" s="23">
        <f>1.18+11.58+0.5</f>
        <v>13.26</v>
      </c>
      <c r="F107" s="23">
        <v>1.23</v>
      </c>
      <c r="G107" s="23">
        <f>3.84+0.3</f>
        <v>4.1399999999999997</v>
      </c>
      <c r="H107" s="23">
        <f>5.78+0.5</f>
        <v>6.28</v>
      </c>
      <c r="I107" s="23">
        <f>1.49</f>
        <v>1.49</v>
      </c>
      <c r="J107" s="23">
        <v>3</v>
      </c>
      <c r="K107" s="23">
        <v>0.03</v>
      </c>
      <c r="L107" s="23">
        <v>6</v>
      </c>
      <c r="M107" s="23">
        <v>0.01</v>
      </c>
      <c r="R107" s="23">
        <v>3</v>
      </c>
      <c r="S107" s="23">
        <v>0.01</v>
      </c>
      <c r="BA107" s="23">
        <v>1</v>
      </c>
      <c r="BE107" s="23">
        <v>1</v>
      </c>
      <c r="BY107" s="23">
        <v>1</v>
      </c>
      <c r="CA107" s="23">
        <v>2</v>
      </c>
    </row>
    <row r="108" spans="1:82" x14ac:dyDescent="0.2">
      <c r="A108" s="23" t="s">
        <v>366</v>
      </c>
      <c r="B108" s="25" t="s">
        <v>324</v>
      </c>
      <c r="C108" s="23" t="s">
        <v>205</v>
      </c>
      <c r="D108" s="23" t="s">
        <v>297</v>
      </c>
      <c r="E108" s="23">
        <f>1.12+12.63+19.2</f>
        <v>32.950000000000003</v>
      </c>
      <c r="F108" s="23">
        <f>1.68+0.33</f>
        <v>2.0099999999999998</v>
      </c>
      <c r="G108" s="23">
        <f>6.59+0.24</f>
        <v>6.83</v>
      </c>
      <c r="H108" s="23">
        <f>7.09</f>
        <v>7.09</v>
      </c>
      <c r="I108" s="23">
        <f>0.51+12.63+3.61</f>
        <v>16.75</v>
      </c>
      <c r="J108" s="23">
        <v>6</v>
      </c>
      <c r="K108" s="23">
        <v>0.05</v>
      </c>
      <c r="L108" s="23">
        <v>4</v>
      </c>
      <c r="M108" s="23">
        <v>0.01</v>
      </c>
      <c r="R108" s="23">
        <v>4</v>
      </c>
      <c r="S108" s="23">
        <v>0.03</v>
      </c>
      <c r="T108" s="23">
        <v>4</v>
      </c>
      <c r="U108" s="23">
        <v>0.01</v>
      </c>
      <c r="Z108" s="23">
        <v>5</v>
      </c>
      <c r="AA108" s="23">
        <v>0.05</v>
      </c>
      <c r="AP108" s="23">
        <v>1</v>
      </c>
      <c r="AZ108" s="23">
        <v>1</v>
      </c>
      <c r="CA108" s="23">
        <v>1</v>
      </c>
    </row>
    <row r="109" spans="1:82" x14ac:dyDescent="0.2">
      <c r="A109" s="23" t="s">
        <v>367</v>
      </c>
      <c r="B109" s="25" t="s">
        <v>324</v>
      </c>
      <c r="C109" s="23" t="s">
        <v>207</v>
      </c>
      <c r="D109" s="23" t="s">
        <v>297</v>
      </c>
      <c r="E109" s="23">
        <f>5.46+0.33</f>
        <v>5.79</v>
      </c>
      <c r="F109" s="23">
        <f>0.4</f>
        <v>0.4</v>
      </c>
      <c r="G109" s="23">
        <f>2.39</f>
        <v>2.39</v>
      </c>
      <c r="H109" s="23">
        <f>2.24</f>
        <v>2.2400000000000002</v>
      </c>
      <c r="I109" s="23">
        <f>0.71</f>
        <v>0.71</v>
      </c>
      <c r="J109" s="23">
        <v>3</v>
      </c>
      <c r="K109" s="23">
        <v>0.01</v>
      </c>
      <c r="L109" s="23">
        <v>4</v>
      </c>
      <c r="M109" s="23">
        <v>0.01</v>
      </c>
      <c r="CA109" s="23">
        <v>1</v>
      </c>
    </row>
    <row r="110" spans="1:82" x14ac:dyDescent="0.2">
      <c r="A110" s="23" t="s">
        <v>368</v>
      </c>
      <c r="B110" s="25" t="s">
        <v>324</v>
      </c>
      <c r="C110" s="23" t="s">
        <v>116</v>
      </c>
      <c r="D110" s="23" t="s">
        <v>297</v>
      </c>
      <c r="E110" s="23">
        <f>8.34+1.12</f>
        <v>9.4600000000000009</v>
      </c>
      <c r="F110" s="23">
        <f>1.5</f>
        <v>1.5</v>
      </c>
      <c r="G110" s="23">
        <f>3.21</f>
        <v>3.21</v>
      </c>
      <c r="H110" s="23">
        <f>3.25</f>
        <v>3.25</v>
      </c>
      <c r="I110" s="23">
        <f>0.55+0.88</f>
        <v>1.4300000000000002</v>
      </c>
      <c r="J110" s="23">
        <v>1</v>
      </c>
      <c r="K110" s="23" t="s">
        <v>21</v>
      </c>
      <c r="L110" s="23">
        <v>1</v>
      </c>
      <c r="M110" s="23" t="s">
        <v>21</v>
      </c>
      <c r="T110" s="23">
        <v>3</v>
      </c>
      <c r="U110" s="23">
        <v>0.02</v>
      </c>
      <c r="BT110" s="23">
        <v>1</v>
      </c>
      <c r="BU110" s="23">
        <v>1</v>
      </c>
    </row>
    <row r="111" spans="1:82" x14ac:dyDescent="0.2">
      <c r="A111" s="23" t="s">
        <v>370</v>
      </c>
      <c r="B111" s="25" t="s">
        <v>324</v>
      </c>
      <c r="C111" s="23" t="s">
        <v>158</v>
      </c>
      <c r="D111" s="23" t="s">
        <v>297</v>
      </c>
      <c r="E111" s="23">
        <f>11.85+0.82+3.49</f>
        <v>16.16</v>
      </c>
      <c r="F111" s="23">
        <f>0.37</f>
        <v>0.37</v>
      </c>
      <c r="G111" s="23">
        <f>3.86+0.15</f>
        <v>4.01</v>
      </c>
      <c r="H111" s="23">
        <f>3.72</f>
        <v>3.72</v>
      </c>
      <c r="I111" s="23">
        <f>3.73+0.54+3.49</f>
        <v>7.76</v>
      </c>
      <c r="J111" s="23">
        <v>8</v>
      </c>
      <c r="K111" s="23">
        <v>0.1</v>
      </c>
      <c r="L111" s="23">
        <v>3</v>
      </c>
      <c r="M111" s="23">
        <v>0.01</v>
      </c>
      <c r="Z111" s="23">
        <v>8</v>
      </c>
      <c r="AA111" s="23">
        <v>0.12</v>
      </c>
      <c r="CA111" s="23">
        <v>2</v>
      </c>
      <c r="CD111" s="23">
        <v>5</v>
      </c>
    </row>
    <row r="112" spans="1:82" x14ac:dyDescent="0.2">
      <c r="A112" s="23" t="s">
        <v>369</v>
      </c>
      <c r="B112" s="25" t="s">
        <v>324</v>
      </c>
      <c r="C112" s="23" t="s">
        <v>264</v>
      </c>
      <c r="D112" s="23" t="s">
        <v>297</v>
      </c>
      <c r="E112" s="23">
        <f>2.94+0.12+24.01</f>
        <v>27.07</v>
      </c>
      <c r="F112" s="23">
        <f>0.69</f>
        <v>0.69</v>
      </c>
      <c r="G112" s="23">
        <f>8.62+0.48</f>
        <v>9.1</v>
      </c>
      <c r="H112" s="23">
        <f>5.39</f>
        <v>5.39</v>
      </c>
      <c r="I112" s="23">
        <f>9.14+2.14</f>
        <v>11.280000000000001</v>
      </c>
      <c r="J112" s="23">
        <v>11</v>
      </c>
      <c r="K112" s="23">
        <v>0.17</v>
      </c>
      <c r="L112" s="23">
        <v>5</v>
      </c>
      <c r="M112" s="23">
        <v>0.09</v>
      </c>
      <c r="P112" s="23">
        <v>1</v>
      </c>
      <c r="Q112" s="23">
        <v>0.02</v>
      </c>
      <c r="T112" s="23">
        <v>2</v>
      </c>
      <c r="U112" s="23" t="s">
        <v>21</v>
      </c>
      <c r="X112" s="23">
        <v>1</v>
      </c>
      <c r="Y112" s="23">
        <v>0.05</v>
      </c>
      <c r="Z112" s="23">
        <v>11</v>
      </c>
      <c r="AA112" s="23">
        <v>0.23</v>
      </c>
      <c r="BA112" s="23">
        <v>1</v>
      </c>
      <c r="CA112" s="23">
        <v>3</v>
      </c>
    </row>
    <row r="113" spans="1:82" x14ac:dyDescent="0.2">
      <c r="A113" s="23" t="s">
        <v>371</v>
      </c>
      <c r="B113" s="25" t="s">
        <v>324</v>
      </c>
      <c r="C113" s="23" t="s">
        <v>265</v>
      </c>
      <c r="D113" s="23" t="s">
        <v>297</v>
      </c>
      <c r="E113" s="23">
        <f>0.99+2.6+0.81+14.07</f>
        <v>18.47</v>
      </c>
      <c r="F113" s="23">
        <f>0.32</f>
        <v>0.32</v>
      </c>
      <c r="G113" s="23">
        <f>5.96</f>
        <v>5.96</v>
      </c>
      <c r="H113" s="23">
        <f>2.19</f>
        <v>2.19</v>
      </c>
      <c r="I113" s="23">
        <f>5.62+0.74+2.6+0.81</f>
        <v>9.7700000000000014</v>
      </c>
      <c r="J113" s="23">
        <v>6</v>
      </c>
      <c r="K113" s="23">
        <v>0.09</v>
      </c>
      <c r="L113" s="23">
        <v>3</v>
      </c>
      <c r="M113" s="23">
        <v>0.01</v>
      </c>
      <c r="T113" s="23">
        <v>4</v>
      </c>
      <c r="U113" s="23">
        <v>0.02</v>
      </c>
      <c r="X113" s="23">
        <v>1</v>
      </c>
      <c r="Y113" s="23">
        <v>0.05</v>
      </c>
      <c r="AZ113" s="23">
        <v>1</v>
      </c>
      <c r="CA113" s="23">
        <v>2</v>
      </c>
    </row>
    <row r="114" spans="1:82" x14ac:dyDescent="0.2">
      <c r="A114" s="23" t="s">
        <v>372</v>
      </c>
      <c r="B114" s="25" t="s">
        <v>324</v>
      </c>
      <c r="C114" s="23" t="s">
        <v>257</v>
      </c>
      <c r="D114" s="23" t="s">
        <v>297</v>
      </c>
      <c r="E114" s="23">
        <f>3.46+24.52</f>
        <v>27.98</v>
      </c>
      <c r="F114" s="23">
        <f>1.56+0.88</f>
        <v>2.44</v>
      </c>
      <c r="G114" s="23">
        <f>9.29+1.26</f>
        <v>10.549999999999999</v>
      </c>
      <c r="H114" s="23">
        <f>9.6</f>
        <v>9.6</v>
      </c>
      <c r="I114" s="23">
        <f>3.84+1.3</f>
        <v>5.14</v>
      </c>
      <c r="J114" s="23">
        <v>3</v>
      </c>
      <c r="K114" s="23">
        <v>0.02</v>
      </c>
      <c r="L114" s="23">
        <v>3</v>
      </c>
      <c r="M114" s="23">
        <v>0.01</v>
      </c>
      <c r="R114" s="23">
        <v>1</v>
      </c>
      <c r="S114" s="23" t="s">
        <v>21</v>
      </c>
      <c r="T114" s="23">
        <v>2</v>
      </c>
      <c r="U114" s="23">
        <v>0.01</v>
      </c>
      <c r="Z114" s="23">
        <v>3</v>
      </c>
      <c r="AA114" s="23">
        <v>0.11</v>
      </c>
      <c r="AP114" s="23">
        <v>1</v>
      </c>
      <c r="AQ114" s="23">
        <v>1</v>
      </c>
      <c r="CA114" s="23">
        <v>5</v>
      </c>
    </row>
    <row r="115" spans="1:82" x14ac:dyDescent="0.2">
      <c r="A115" s="23" t="s">
        <v>373</v>
      </c>
      <c r="B115" s="25" t="s">
        <v>324</v>
      </c>
      <c r="C115" s="23" t="s">
        <v>278</v>
      </c>
      <c r="D115" s="23" t="s">
        <v>297</v>
      </c>
      <c r="E115" s="23">
        <f>1.19+0.41+10.27</f>
        <v>11.87</v>
      </c>
      <c r="F115" s="23">
        <f>0.34+0.32</f>
        <v>0.66</v>
      </c>
      <c r="G115" s="23">
        <f>2.81+0.26</f>
        <v>3.0700000000000003</v>
      </c>
      <c r="H115" s="23">
        <f>5.31</f>
        <v>5.31</v>
      </c>
      <c r="I115" s="23">
        <f>1.7+0.59+0.41</f>
        <v>2.7</v>
      </c>
      <c r="L115" s="23">
        <v>5</v>
      </c>
      <c r="M115" s="23">
        <v>0.01</v>
      </c>
      <c r="R115" s="23">
        <v>1</v>
      </c>
      <c r="S115" s="23" t="s">
        <v>21</v>
      </c>
      <c r="T115" s="23">
        <v>3</v>
      </c>
      <c r="U115" s="23" t="s">
        <v>21</v>
      </c>
      <c r="Z115" s="23">
        <v>1</v>
      </c>
      <c r="AA115" s="23" t="s">
        <v>21</v>
      </c>
      <c r="CA115" s="23">
        <v>1</v>
      </c>
    </row>
    <row r="116" spans="1:82" x14ac:dyDescent="0.2">
      <c r="A116" s="23" t="s">
        <v>374</v>
      </c>
      <c r="B116" s="25" t="s">
        <v>324</v>
      </c>
      <c r="C116" s="23" t="s">
        <v>375</v>
      </c>
      <c r="D116" s="23" t="s">
        <v>297</v>
      </c>
      <c r="E116" s="23">
        <v>0.4</v>
      </c>
      <c r="F116" s="23">
        <v>0.01</v>
      </c>
      <c r="G116" s="23">
        <f>0.11</f>
        <v>0.11</v>
      </c>
      <c r="I116" s="23">
        <f>0.28</f>
        <v>0.28000000000000003</v>
      </c>
    </row>
    <row r="117" spans="1:82" x14ac:dyDescent="0.2">
      <c r="A117" s="23" t="s">
        <v>376</v>
      </c>
      <c r="B117" s="25" t="s">
        <v>324</v>
      </c>
      <c r="C117" s="23" t="s">
        <v>377</v>
      </c>
      <c r="D117" s="23" t="s">
        <v>297</v>
      </c>
      <c r="E117" s="23">
        <f>0.66+4.75</f>
        <v>5.41</v>
      </c>
      <c r="F117" s="23">
        <f>0.38</f>
        <v>0.38</v>
      </c>
      <c r="G117" s="23">
        <f>1.92</f>
        <v>1.92</v>
      </c>
      <c r="H117" s="23">
        <v>1.56</v>
      </c>
      <c r="I117" s="23">
        <f>1.16+0.39</f>
        <v>1.5499999999999998</v>
      </c>
      <c r="CA117" s="23">
        <v>1</v>
      </c>
    </row>
    <row r="118" spans="1:82" x14ac:dyDescent="0.2">
      <c r="A118" s="23" t="s">
        <v>378</v>
      </c>
      <c r="B118" s="25" t="s">
        <v>379</v>
      </c>
      <c r="C118" s="23" t="s">
        <v>102</v>
      </c>
      <c r="D118" s="23" t="s">
        <v>297</v>
      </c>
      <c r="E118" s="23">
        <f>4.21+0.32</f>
        <v>4.53</v>
      </c>
      <c r="F118" s="23">
        <f>0.32</f>
        <v>0.32</v>
      </c>
      <c r="G118" s="23">
        <v>2.0499999999999998</v>
      </c>
      <c r="H118" s="23">
        <v>1.44</v>
      </c>
      <c r="I118" s="23">
        <v>0.72</v>
      </c>
      <c r="AP118" s="23">
        <v>1</v>
      </c>
      <c r="CA118" s="23">
        <v>1</v>
      </c>
      <c r="CD118" s="23">
        <v>10</v>
      </c>
    </row>
    <row r="119" spans="1:82" x14ac:dyDescent="0.2">
      <c r="A119" s="23" t="s">
        <v>381</v>
      </c>
      <c r="B119" s="25" t="s">
        <v>324</v>
      </c>
      <c r="C119" s="23" t="s">
        <v>29</v>
      </c>
      <c r="D119" s="23" t="s">
        <v>297</v>
      </c>
      <c r="E119" s="23">
        <v>0.15</v>
      </c>
      <c r="F119" s="23">
        <v>0.05</v>
      </c>
      <c r="G119" s="23">
        <v>0.06</v>
      </c>
      <c r="H119" s="23">
        <v>0.04</v>
      </c>
    </row>
    <row r="120" spans="1:82" x14ac:dyDescent="0.2">
      <c r="B120" s="25" t="s">
        <v>382</v>
      </c>
      <c r="C120" s="23" t="s">
        <v>16</v>
      </c>
      <c r="D120" s="23" t="s">
        <v>297</v>
      </c>
      <c r="E120" s="23">
        <f>3.1+17.11</f>
        <v>20.21</v>
      </c>
      <c r="F120" s="23">
        <f>1.99*2</f>
        <v>3.98</v>
      </c>
      <c r="G120" s="23">
        <f>5.95+0.98</f>
        <v>6.93</v>
      </c>
      <c r="H120" s="23">
        <v>8.58</v>
      </c>
      <c r="I120" s="23">
        <v>0.6</v>
      </c>
      <c r="J120" s="23">
        <v>3</v>
      </c>
      <c r="K120" s="23" t="s">
        <v>21</v>
      </c>
      <c r="R120" s="23">
        <v>2</v>
      </c>
      <c r="S120" s="23">
        <v>0.01</v>
      </c>
      <c r="Z120" s="23">
        <v>6</v>
      </c>
      <c r="AA120" s="23">
        <v>0.05</v>
      </c>
      <c r="AB120" s="23">
        <v>3</v>
      </c>
      <c r="AC120" s="23">
        <v>0.04</v>
      </c>
      <c r="AZ120" s="23">
        <v>1</v>
      </c>
      <c r="BA120" s="23">
        <v>1</v>
      </c>
      <c r="CA120" s="23">
        <v>7</v>
      </c>
      <c r="CD120" s="23">
        <v>65</v>
      </c>
    </row>
    <row r="121" spans="1:82" x14ac:dyDescent="0.2">
      <c r="A121" s="23" t="s">
        <v>383</v>
      </c>
      <c r="B121" s="25" t="s">
        <v>382</v>
      </c>
      <c r="C121" s="23" t="s">
        <v>59</v>
      </c>
      <c r="D121" s="23" t="s">
        <v>297</v>
      </c>
      <c r="E121" s="23">
        <f>18.32+4.25</f>
        <v>22.57</v>
      </c>
      <c r="F121" s="23">
        <f>2.25+5.2</f>
        <v>7.45</v>
      </c>
      <c r="G121" s="23">
        <f>9.16+1.57</f>
        <v>10.73</v>
      </c>
      <c r="H121" s="23">
        <f>2.68</f>
        <v>2.68</v>
      </c>
      <c r="I121" s="23">
        <f>1.06+0.35</f>
        <v>1.4100000000000001</v>
      </c>
      <c r="L121" s="23">
        <v>3</v>
      </c>
      <c r="M121" s="23">
        <v>0.01</v>
      </c>
      <c r="Z121" s="23">
        <v>5</v>
      </c>
      <c r="AA121" s="23">
        <v>0.06</v>
      </c>
      <c r="AF121" s="23">
        <v>1</v>
      </c>
      <c r="AG121" s="23" t="s">
        <v>21</v>
      </c>
      <c r="AY121" s="23">
        <v>1</v>
      </c>
      <c r="AZ121" s="23">
        <v>1</v>
      </c>
      <c r="BT121" s="23">
        <v>1</v>
      </c>
      <c r="CA121" s="23">
        <v>1</v>
      </c>
      <c r="CD121" s="23">
        <v>220</v>
      </c>
    </row>
    <row r="122" spans="1:82" x14ac:dyDescent="0.2">
      <c r="A122" s="23" t="s">
        <v>384</v>
      </c>
      <c r="B122" s="25" t="s">
        <v>382</v>
      </c>
      <c r="C122" s="23" t="s">
        <v>63</v>
      </c>
      <c r="D122" s="23" t="s">
        <v>297</v>
      </c>
      <c r="E122" s="23">
        <f>11.29+1.29</f>
        <v>12.579999999999998</v>
      </c>
      <c r="F122" s="23">
        <f>2.28+0.73</f>
        <v>3.01</v>
      </c>
      <c r="G122" s="23">
        <f>5.45+0.52</f>
        <v>5.9700000000000006</v>
      </c>
      <c r="H122" s="23">
        <f>3.1</f>
        <v>3.1</v>
      </c>
      <c r="I122" s="23">
        <f>0.42</f>
        <v>0.42</v>
      </c>
      <c r="R122" s="23">
        <v>1</v>
      </c>
      <c r="S122" s="23" t="s">
        <v>21</v>
      </c>
      <c r="T122" s="23">
        <v>3</v>
      </c>
      <c r="U122" s="23">
        <v>0.01</v>
      </c>
      <c r="Z122" s="23">
        <v>5</v>
      </c>
      <c r="AA122" s="23">
        <v>0.06</v>
      </c>
      <c r="BT122" s="23">
        <v>1</v>
      </c>
      <c r="CD122" s="23">
        <v>75</v>
      </c>
    </row>
    <row r="123" spans="1:82" x14ac:dyDescent="0.2">
      <c r="A123" s="23" t="s">
        <v>385</v>
      </c>
      <c r="B123" s="25" t="s">
        <v>382</v>
      </c>
      <c r="C123" s="23" t="s">
        <v>66</v>
      </c>
      <c r="D123" s="23" t="s">
        <v>297</v>
      </c>
      <c r="E123" s="23">
        <f>1.07+6.14</f>
        <v>7.21</v>
      </c>
      <c r="F123" s="23">
        <f>2.7</f>
        <v>2.7</v>
      </c>
      <c r="G123" s="23">
        <f>3.26+0.45</f>
        <v>3.71</v>
      </c>
      <c r="H123" s="23">
        <v>0.46</v>
      </c>
      <c r="I123" s="23">
        <f>0.33</f>
        <v>0.33</v>
      </c>
      <c r="T123" s="23">
        <v>3</v>
      </c>
      <c r="U123" s="23" t="s">
        <v>21</v>
      </c>
      <c r="CD123" s="23">
        <v>41</v>
      </c>
    </row>
    <row r="124" spans="1:82" x14ac:dyDescent="0.2">
      <c r="A124" s="23" t="s">
        <v>386</v>
      </c>
      <c r="B124" s="25" t="s">
        <v>382</v>
      </c>
      <c r="C124" s="23" t="s">
        <v>69</v>
      </c>
      <c r="D124" s="23" t="s">
        <v>297</v>
      </c>
      <c r="E124" s="23">
        <f>11.19+2.52</f>
        <v>13.709999999999999</v>
      </c>
      <c r="F124" s="23">
        <f>2.43+1.44</f>
        <v>3.87</v>
      </c>
      <c r="G124" s="23">
        <f>5</f>
        <v>5</v>
      </c>
      <c r="H124" s="23">
        <v>4.32</v>
      </c>
      <c r="I124" s="23">
        <v>0.42</v>
      </c>
      <c r="L124" s="23">
        <v>2</v>
      </c>
      <c r="M124" s="23" t="s">
        <v>21</v>
      </c>
      <c r="T124" s="23">
        <v>1</v>
      </c>
      <c r="U124" s="23" t="s">
        <v>21</v>
      </c>
      <c r="Z124" s="23">
        <v>3</v>
      </c>
      <c r="AA124" s="23">
        <v>0.03</v>
      </c>
      <c r="AD124" s="23">
        <v>1</v>
      </c>
      <c r="AE124" s="23" t="s">
        <v>21</v>
      </c>
      <c r="AY124" s="23">
        <v>1</v>
      </c>
      <c r="CD124" s="23">
        <v>114</v>
      </c>
    </row>
    <row r="125" spans="1:82" x14ac:dyDescent="0.2">
      <c r="A125" s="23" t="s">
        <v>387</v>
      </c>
      <c r="B125" s="25" t="s">
        <v>382</v>
      </c>
      <c r="C125" s="23" t="s">
        <v>72</v>
      </c>
      <c r="D125" s="23" t="s">
        <v>297</v>
      </c>
      <c r="E125" s="23">
        <f>1.49+0.07</f>
        <v>1.56</v>
      </c>
      <c r="F125" s="23">
        <v>0.31</v>
      </c>
      <c r="G125" s="23">
        <v>0.94</v>
      </c>
      <c r="H125" s="23">
        <v>0.13</v>
      </c>
      <c r="I125" s="23">
        <v>0.15</v>
      </c>
      <c r="Z125" s="23">
        <v>1</v>
      </c>
      <c r="AA125" s="23">
        <v>0.01</v>
      </c>
      <c r="CD125" s="23">
        <v>3</v>
      </c>
    </row>
    <row r="126" spans="1:82" x14ac:dyDescent="0.2">
      <c r="A126" s="23" t="s">
        <v>388</v>
      </c>
      <c r="B126" s="25" t="s">
        <v>382</v>
      </c>
      <c r="C126" s="23" t="s">
        <v>89</v>
      </c>
      <c r="D126" s="23" t="s">
        <v>297</v>
      </c>
      <c r="E126" s="23">
        <v>0.69</v>
      </c>
      <c r="F126" s="23">
        <v>0.26</v>
      </c>
      <c r="G126" s="23">
        <v>0.34</v>
      </c>
      <c r="H126" s="23">
        <v>0.06</v>
      </c>
      <c r="I126" s="23">
        <v>0.01</v>
      </c>
      <c r="Z126" s="23">
        <v>2</v>
      </c>
      <c r="AA126" s="23">
        <v>0.02</v>
      </c>
    </row>
    <row r="127" spans="1:82" x14ac:dyDescent="0.2">
      <c r="A127" s="23" t="s">
        <v>389</v>
      </c>
      <c r="B127" s="25" t="s">
        <v>382</v>
      </c>
      <c r="C127" s="23" t="s">
        <v>92</v>
      </c>
      <c r="D127" s="23" t="s">
        <v>297</v>
      </c>
      <c r="E127" s="23">
        <v>2.5499999999999998</v>
      </c>
      <c r="F127" s="23">
        <v>0.69</v>
      </c>
      <c r="G127" s="23">
        <v>1.64</v>
      </c>
      <c r="H127" s="23">
        <v>0.08</v>
      </c>
      <c r="I127" s="23">
        <v>0.13</v>
      </c>
      <c r="Z127" s="23">
        <v>1</v>
      </c>
      <c r="AA127" s="23">
        <v>0.01</v>
      </c>
    </row>
    <row r="128" spans="1:82" x14ac:dyDescent="0.2">
      <c r="A128" s="23" t="s">
        <v>390</v>
      </c>
      <c r="B128" s="25" t="s">
        <v>382</v>
      </c>
      <c r="C128" s="23" t="s">
        <v>391</v>
      </c>
      <c r="D128" s="23" t="s">
        <v>297</v>
      </c>
      <c r="E128" s="23">
        <f>0.42+2.47</f>
        <v>2.89</v>
      </c>
      <c r="F128" s="23">
        <v>0.73</v>
      </c>
      <c r="G128" s="23">
        <v>1.66</v>
      </c>
      <c r="H128" s="23">
        <v>0.28999999999999998</v>
      </c>
      <c r="I128" s="23">
        <v>0.12</v>
      </c>
      <c r="L128" s="23">
        <v>2</v>
      </c>
      <c r="M128" s="23" t="s">
        <v>21</v>
      </c>
      <c r="Z128" s="23">
        <v>2</v>
      </c>
      <c r="AA128" s="23">
        <v>0.06</v>
      </c>
      <c r="CA128" s="23">
        <v>1</v>
      </c>
    </row>
    <row r="129" spans="1:82" x14ac:dyDescent="0.2">
      <c r="A129" s="23" t="s">
        <v>392</v>
      </c>
      <c r="B129" s="25" t="s">
        <v>393</v>
      </c>
      <c r="C129" s="23" t="s">
        <v>16</v>
      </c>
      <c r="D129" s="23" t="s">
        <v>297</v>
      </c>
      <c r="E129" s="23">
        <f>19.12+2.66+0.94</f>
        <v>22.720000000000002</v>
      </c>
      <c r="F129" s="23">
        <f>0.54+0.28</f>
        <v>0.82000000000000006</v>
      </c>
      <c r="G129" s="23">
        <f>5.67+0.33</f>
        <v>6</v>
      </c>
      <c r="H129" s="23">
        <f>11.37</f>
        <v>11.37</v>
      </c>
      <c r="I129" s="23">
        <f>1.35+0.32+2.66</f>
        <v>4.33</v>
      </c>
      <c r="J129" s="23">
        <v>1</v>
      </c>
      <c r="K129" s="23" t="s">
        <v>21</v>
      </c>
      <c r="L129" s="23">
        <v>4</v>
      </c>
      <c r="M129" s="23" t="s">
        <v>21</v>
      </c>
      <c r="R129" s="23">
        <v>4</v>
      </c>
      <c r="S129" s="23">
        <v>0.01</v>
      </c>
      <c r="AA129" s="23">
        <v>0.12</v>
      </c>
      <c r="AF129" s="23">
        <v>1</v>
      </c>
      <c r="AG129" s="23" t="s">
        <v>21</v>
      </c>
      <c r="AW129" s="23">
        <v>1</v>
      </c>
      <c r="BA129" s="23">
        <v>7</v>
      </c>
      <c r="BS129" s="23">
        <v>1</v>
      </c>
      <c r="BT129" s="23">
        <v>1</v>
      </c>
      <c r="CA129" s="23">
        <v>2</v>
      </c>
      <c r="CD129" s="23">
        <v>60</v>
      </c>
    </row>
    <row r="130" spans="1:82" x14ac:dyDescent="0.2">
      <c r="A130" s="23" t="s">
        <v>394</v>
      </c>
      <c r="B130" s="25" t="s">
        <v>393</v>
      </c>
      <c r="C130" s="23" t="s">
        <v>59</v>
      </c>
      <c r="D130" s="23" t="s">
        <v>297</v>
      </c>
      <c r="E130" s="23">
        <f>1.98+24.31</f>
        <v>26.29</v>
      </c>
      <c r="F130" s="23">
        <f>1.64+0.69</f>
        <v>2.33</v>
      </c>
      <c r="G130" s="23">
        <f>10.62+0.64</f>
        <v>11.26</v>
      </c>
      <c r="H130" s="23">
        <f>8.5</f>
        <v>8.5</v>
      </c>
      <c r="I130" s="23">
        <f>2.83+0.56</f>
        <v>3.39</v>
      </c>
      <c r="J130" s="23">
        <v>2</v>
      </c>
      <c r="K130" s="23">
        <v>0.03</v>
      </c>
      <c r="L130" s="23">
        <v>7</v>
      </c>
      <c r="M130" s="23">
        <v>0.01</v>
      </c>
      <c r="R130" s="23">
        <v>5</v>
      </c>
      <c r="S130" s="23">
        <v>0.02</v>
      </c>
      <c r="T130" s="23">
        <v>10</v>
      </c>
      <c r="U130" s="23">
        <v>0.04</v>
      </c>
      <c r="Z130" s="23">
        <v>43</v>
      </c>
      <c r="AA130" s="23">
        <v>0.49</v>
      </c>
      <c r="AF130" s="23">
        <v>2</v>
      </c>
      <c r="AG130" s="23" t="s">
        <v>21</v>
      </c>
      <c r="AZ130" s="23">
        <v>1</v>
      </c>
      <c r="BA130" s="23">
        <v>1</v>
      </c>
      <c r="BE130" s="23">
        <v>1</v>
      </c>
      <c r="BY130" s="23">
        <v>1</v>
      </c>
      <c r="CA130" s="23">
        <v>3</v>
      </c>
      <c r="CD130" s="23">
        <v>102</v>
      </c>
    </row>
    <row r="131" spans="1:82" x14ac:dyDescent="0.2">
      <c r="A131" s="23" t="s">
        <v>395</v>
      </c>
      <c r="B131" s="25" t="s">
        <v>393</v>
      </c>
      <c r="C131" s="23" t="s">
        <v>63</v>
      </c>
      <c r="D131" s="23" t="s">
        <v>297</v>
      </c>
      <c r="E131" s="23">
        <f>17.4+0.87+0.11</f>
        <v>18.38</v>
      </c>
      <c r="F131" s="23">
        <f>1.58</f>
        <v>1.58</v>
      </c>
      <c r="G131" s="23">
        <f>9.46+0.42</f>
        <v>9.8800000000000008</v>
      </c>
      <c r="H131" s="23">
        <f>4.51</f>
        <v>4.51</v>
      </c>
      <c r="I131" s="23">
        <f>0.21+0.11+1.8</f>
        <v>2.12</v>
      </c>
      <c r="J131" s="23">
        <v>7</v>
      </c>
      <c r="K131" s="23">
        <v>0.09</v>
      </c>
      <c r="L131" s="23">
        <v>9</v>
      </c>
      <c r="M131" s="23">
        <v>0.02</v>
      </c>
      <c r="R131" s="23">
        <v>8</v>
      </c>
      <c r="S131" s="23">
        <v>0.04</v>
      </c>
      <c r="T131" s="23">
        <v>7</v>
      </c>
      <c r="U131" s="23">
        <v>0.02</v>
      </c>
      <c r="Z131" s="23">
        <v>25</v>
      </c>
      <c r="AA131" s="23">
        <v>0.14000000000000001</v>
      </c>
      <c r="AF131" s="23">
        <v>1</v>
      </c>
      <c r="AG131" s="23" t="s">
        <v>21</v>
      </c>
      <c r="AU131" s="23">
        <v>1</v>
      </c>
      <c r="AY131" s="23">
        <v>1</v>
      </c>
      <c r="AZ131" s="23">
        <v>3</v>
      </c>
      <c r="BA131" s="23">
        <v>2</v>
      </c>
      <c r="CA131" s="23">
        <v>1</v>
      </c>
      <c r="CD131" s="23">
        <v>98</v>
      </c>
    </row>
    <row r="132" spans="1:82" x14ac:dyDescent="0.2">
      <c r="A132" s="23" t="s">
        <v>396</v>
      </c>
      <c r="B132" s="25" t="s">
        <v>393</v>
      </c>
      <c r="C132" s="23" t="s">
        <v>397</v>
      </c>
      <c r="D132" s="23" t="s">
        <v>297</v>
      </c>
      <c r="E132" s="23">
        <f>1.5+28.34</f>
        <v>29.84</v>
      </c>
      <c r="F132" s="23">
        <f>0.62+2.68</f>
        <v>3.3000000000000003</v>
      </c>
      <c r="G132" s="23">
        <f>11.48</f>
        <v>11.48</v>
      </c>
      <c r="H132" s="23">
        <v>12.05</v>
      </c>
      <c r="I132" s="23">
        <f>2.23+0.38</f>
        <v>2.61</v>
      </c>
      <c r="J132" s="23">
        <v>4</v>
      </c>
      <c r="K132" s="23">
        <v>0.02</v>
      </c>
      <c r="L132" s="23">
        <v>4</v>
      </c>
      <c r="M132" s="23">
        <v>0.01</v>
      </c>
      <c r="P132" s="23">
        <v>1</v>
      </c>
      <c r="Q132" s="23">
        <v>0.01</v>
      </c>
      <c r="R132" s="23">
        <v>1</v>
      </c>
      <c r="S132" s="23" t="s">
        <v>21</v>
      </c>
      <c r="T132" s="23">
        <v>10</v>
      </c>
      <c r="U132" s="23">
        <v>0.02</v>
      </c>
      <c r="Z132" s="23">
        <v>24</v>
      </c>
      <c r="AA132" s="23">
        <v>0.26</v>
      </c>
      <c r="AF132" s="23">
        <v>1</v>
      </c>
      <c r="AG132" s="23">
        <v>0.01</v>
      </c>
      <c r="AP132" s="23">
        <v>1</v>
      </c>
      <c r="AY132" s="23">
        <v>1</v>
      </c>
      <c r="AZ132" s="23">
        <v>1</v>
      </c>
      <c r="BA132" s="23">
        <v>1</v>
      </c>
      <c r="BU132" s="23">
        <v>2</v>
      </c>
      <c r="CA132" s="23">
        <v>3</v>
      </c>
      <c r="CD132" s="23">
        <v>96</v>
      </c>
    </row>
    <row r="133" spans="1:82" x14ac:dyDescent="0.2">
      <c r="A133" s="23" t="s">
        <v>398</v>
      </c>
      <c r="B133" s="25" t="s">
        <v>393</v>
      </c>
      <c r="C133" s="23" t="s">
        <v>69</v>
      </c>
      <c r="D133" s="23" t="s">
        <v>297</v>
      </c>
      <c r="E133" s="23">
        <f>1.7+25.86</f>
        <v>27.56</v>
      </c>
      <c r="F133" s="23">
        <f>2.12+0.76</f>
        <v>2.88</v>
      </c>
      <c r="G133" s="23">
        <f>7.7+0.62</f>
        <v>8.32</v>
      </c>
      <c r="H133" s="23">
        <v>13.12</v>
      </c>
      <c r="I133" s="23">
        <f>2.52+0.24</f>
        <v>2.76</v>
      </c>
      <c r="L133" s="23">
        <v>1</v>
      </c>
      <c r="M133" s="23" t="s">
        <v>21</v>
      </c>
      <c r="R133" s="23">
        <v>2</v>
      </c>
      <c r="S133" s="23">
        <v>0.03</v>
      </c>
      <c r="T133" s="23">
        <v>6</v>
      </c>
      <c r="U133" s="23">
        <v>0.02</v>
      </c>
      <c r="Z133" s="23">
        <v>24</v>
      </c>
      <c r="AA133" s="23">
        <v>0.24</v>
      </c>
      <c r="BA133" s="23">
        <v>5</v>
      </c>
      <c r="BC133" s="23">
        <v>1</v>
      </c>
      <c r="BS133" s="23">
        <v>1</v>
      </c>
      <c r="CA133" s="23">
        <v>2</v>
      </c>
      <c r="CD133" s="23">
        <v>120</v>
      </c>
    </row>
    <row r="134" spans="1:82" x14ac:dyDescent="0.2">
      <c r="A134" s="23" t="s">
        <v>399</v>
      </c>
      <c r="B134" s="25" t="s">
        <v>393</v>
      </c>
      <c r="C134" s="23" t="s">
        <v>72</v>
      </c>
      <c r="D134" s="23" t="s">
        <v>297</v>
      </c>
      <c r="E134" s="23">
        <f>0.67+6.73</f>
        <v>7.4</v>
      </c>
      <c r="F134" s="23">
        <f>0.61+0.37</f>
        <v>0.98</v>
      </c>
      <c r="G134" s="23">
        <f>3.32+0.14</f>
        <v>3.46</v>
      </c>
      <c r="H134" s="23">
        <f>1.75</f>
        <v>1.75</v>
      </c>
      <c r="I134" s="23">
        <v>1.04</v>
      </c>
      <c r="R134" s="23">
        <v>5</v>
      </c>
      <c r="S134" s="23">
        <v>0.03</v>
      </c>
      <c r="T134" s="23">
        <v>4</v>
      </c>
      <c r="U134" s="23">
        <v>0.01</v>
      </c>
      <c r="Z134" s="23">
        <v>10</v>
      </c>
      <c r="AA134" s="23">
        <v>0.13</v>
      </c>
      <c r="BA134" s="23">
        <v>1</v>
      </c>
      <c r="CA134" s="23">
        <v>1</v>
      </c>
      <c r="CD134" s="23">
        <v>58</v>
      </c>
    </row>
    <row r="135" spans="1:82" x14ac:dyDescent="0.2">
      <c r="A135" s="23" t="s">
        <v>400</v>
      </c>
      <c r="B135" s="25" t="s">
        <v>393</v>
      </c>
      <c r="C135" s="23" t="s">
        <v>89</v>
      </c>
      <c r="D135" s="23" t="s">
        <v>297</v>
      </c>
      <c r="E135" s="23">
        <f>1.26+7.76</f>
        <v>9.02</v>
      </c>
      <c r="F135" s="23">
        <f>1.26+0.41</f>
        <v>1.67</v>
      </c>
      <c r="G135" s="23">
        <f>2.67+0.24</f>
        <v>2.91</v>
      </c>
      <c r="H135" s="23">
        <f>2.87</f>
        <v>2.87</v>
      </c>
      <c r="I135" s="23">
        <f>0.9+0.59</f>
        <v>1.49</v>
      </c>
      <c r="J135" s="23">
        <v>1</v>
      </c>
      <c r="K135" s="23" t="s">
        <v>21</v>
      </c>
      <c r="L135" s="23">
        <v>5</v>
      </c>
      <c r="M135" s="23" t="s">
        <v>21</v>
      </c>
      <c r="R135" s="23">
        <v>1</v>
      </c>
      <c r="S135" s="23" t="s">
        <v>21</v>
      </c>
      <c r="T135" s="23">
        <v>1</v>
      </c>
      <c r="U135" s="23" t="s">
        <v>21</v>
      </c>
      <c r="Z135" s="23">
        <v>7</v>
      </c>
      <c r="AA135" s="23">
        <v>0.06</v>
      </c>
      <c r="BC135" s="23">
        <v>1</v>
      </c>
      <c r="CD135" s="23">
        <v>14</v>
      </c>
    </row>
    <row r="136" spans="1:82" x14ac:dyDescent="0.2">
      <c r="A136" s="23" t="s">
        <v>401</v>
      </c>
      <c r="B136" s="25" t="s">
        <v>393</v>
      </c>
      <c r="C136" s="23" t="s">
        <v>92</v>
      </c>
      <c r="D136" s="23" t="s">
        <v>297</v>
      </c>
      <c r="E136" s="23">
        <f>9.01+1.38+0.65</f>
        <v>11.040000000000001</v>
      </c>
      <c r="F136" s="23">
        <f>1.2+0.52</f>
        <v>1.72</v>
      </c>
      <c r="G136" s="23">
        <f>4.4</f>
        <v>4.4000000000000004</v>
      </c>
      <c r="H136" s="23">
        <f>2.4</f>
        <v>2.4</v>
      </c>
      <c r="I136" s="23">
        <f>0.53+0.65+1.25</f>
        <v>2.4300000000000002</v>
      </c>
      <c r="J136" s="23">
        <v>3</v>
      </c>
      <c r="K136" s="23">
        <v>0.02</v>
      </c>
      <c r="T136" s="23">
        <v>2</v>
      </c>
      <c r="U136" s="23" t="s">
        <v>21</v>
      </c>
      <c r="Z136" s="23">
        <v>10</v>
      </c>
      <c r="AA136" s="23">
        <v>0.05</v>
      </c>
      <c r="AF136" s="23">
        <v>2</v>
      </c>
      <c r="AG136" s="23" t="s">
        <v>21</v>
      </c>
      <c r="AZ136" s="23">
        <v>1</v>
      </c>
      <c r="BA136" s="23">
        <v>1</v>
      </c>
      <c r="BE136" s="23">
        <v>1</v>
      </c>
      <c r="CA136" s="23">
        <v>1</v>
      </c>
      <c r="CD136" s="23">
        <v>58</v>
      </c>
    </row>
    <row r="137" spans="1:82" x14ac:dyDescent="0.2">
      <c r="A137" s="23" t="s">
        <v>402</v>
      </c>
      <c r="B137" s="25" t="s">
        <v>393</v>
      </c>
      <c r="C137" s="23" t="s">
        <v>391</v>
      </c>
      <c r="D137" s="23" t="s">
        <v>297</v>
      </c>
      <c r="E137" s="23">
        <f>2.08+0.61+42.71</f>
        <v>45.4</v>
      </c>
      <c r="F137" s="23">
        <f>3.69+0.88</f>
        <v>4.57</v>
      </c>
      <c r="G137" s="23">
        <f>11.81+0.53</f>
        <v>12.34</v>
      </c>
      <c r="H137" s="23">
        <f>22.09</f>
        <v>22.09</v>
      </c>
      <c r="I137" s="23">
        <f>4.5+0.64+0.61</f>
        <v>5.75</v>
      </c>
      <c r="J137" s="23">
        <v>7</v>
      </c>
      <c r="K137" s="23">
        <v>0.09</v>
      </c>
      <c r="L137" s="23">
        <v>2</v>
      </c>
      <c r="M137" s="23" t="s">
        <v>21</v>
      </c>
      <c r="P137" s="23">
        <v>1</v>
      </c>
      <c r="Q137" s="23" t="s">
        <v>21</v>
      </c>
      <c r="R137" s="23">
        <v>1</v>
      </c>
      <c r="S137" s="23" t="s">
        <v>21</v>
      </c>
      <c r="T137" s="23">
        <v>3</v>
      </c>
      <c r="U137" s="23" t="s">
        <v>21</v>
      </c>
      <c r="Z137" s="23">
        <v>27</v>
      </c>
      <c r="AA137" s="23">
        <v>0.57999999999999996</v>
      </c>
      <c r="AF137" s="23">
        <v>3</v>
      </c>
      <c r="AG137" s="23" t="s">
        <v>21</v>
      </c>
      <c r="CD137" s="23">
        <v>15</v>
      </c>
    </row>
    <row r="138" spans="1:82" x14ac:dyDescent="0.2">
      <c r="A138" s="23" t="s">
        <v>403</v>
      </c>
      <c r="B138" s="25" t="s">
        <v>393</v>
      </c>
      <c r="C138" s="23" t="s">
        <v>95</v>
      </c>
      <c r="D138" s="23" t="s">
        <v>297</v>
      </c>
      <c r="E138" s="23">
        <f>2.87+53.88+1.65</f>
        <v>58.4</v>
      </c>
      <c r="F138" s="23">
        <f>10.99</f>
        <v>10.99</v>
      </c>
      <c r="G138" s="23">
        <f>10.43+0.58</f>
        <v>11.01</v>
      </c>
      <c r="H138" s="23">
        <f>38.97</f>
        <v>38.97</v>
      </c>
      <c r="I138" s="23">
        <f>3.18+1.34+1.65</f>
        <v>6.17</v>
      </c>
      <c r="J138" s="23">
        <v>4</v>
      </c>
      <c r="K138" s="23">
        <v>0.1</v>
      </c>
      <c r="R138" s="23">
        <v>2</v>
      </c>
      <c r="S138" s="23">
        <v>0.01</v>
      </c>
      <c r="T138" s="23">
        <v>1</v>
      </c>
      <c r="U138" s="23" t="s">
        <v>21</v>
      </c>
      <c r="Z138" s="23">
        <v>19</v>
      </c>
      <c r="AA138" s="23">
        <v>0.12</v>
      </c>
      <c r="AZ138" s="23">
        <v>2</v>
      </c>
      <c r="CA138" s="23">
        <v>4</v>
      </c>
      <c r="CD138" s="23">
        <v>7</v>
      </c>
    </row>
    <row r="139" spans="1:82" x14ac:dyDescent="0.2">
      <c r="A139" s="23" t="s">
        <v>404</v>
      </c>
      <c r="B139" s="25" t="s">
        <v>393</v>
      </c>
      <c r="C139" s="23" t="s">
        <v>97</v>
      </c>
      <c r="D139" s="23" t="s">
        <v>297</v>
      </c>
      <c r="E139" s="23">
        <f>3+35.35</f>
        <v>38.35</v>
      </c>
      <c r="F139" s="23">
        <f>1.41+2.95</f>
        <v>4.3600000000000003</v>
      </c>
      <c r="G139" s="23">
        <f>9.6+0.74</f>
        <v>10.34</v>
      </c>
      <c r="H139" s="23">
        <f>17.4</f>
        <v>17.399999999999999</v>
      </c>
      <c r="I139" s="23">
        <f>-0.77+4.79</f>
        <v>4.0199999999999996</v>
      </c>
      <c r="J139" s="23">
        <v>11</v>
      </c>
      <c r="K139" s="23">
        <v>0.13</v>
      </c>
      <c r="R139" s="23">
        <v>3</v>
      </c>
      <c r="S139" s="23">
        <v>0.04</v>
      </c>
      <c r="T139" s="23">
        <v>2</v>
      </c>
      <c r="U139" s="23" t="s">
        <v>21</v>
      </c>
      <c r="Z139" s="23">
        <v>33</v>
      </c>
      <c r="AA139" s="23">
        <v>0.26</v>
      </c>
      <c r="AX139" s="23">
        <v>1</v>
      </c>
      <c r="AZ139" s="23">
        <v>1</v>
      </c>
      <c r="BA139" s="23">
        <v>2</v>
      </c>
      <c r="BU139" s="23">
        <v>1</v>
      </c>
      <c r="CA139" s="23">
        <v>2</v>
      </c>
      <c r="CD139" s="23">
        <v>5</v>
      </c>
    </row>
    <row r="140" spans="1:82" x14ac:dyDescent="0.2">
      <c r="A140" s="23" t="s">
        <v>405</v>
      </c>
      <c r="B140" s="25" t="s">
        <v>393</v>
      </c>
      <c r="C140" s="23" t="s">
        <v>99</v>
      </c>
      <c r="D140" s="23" t="s">
        <v>297</v>
      </c>
      <c r="E140" s="23">
        <f>8.9+2.62</f>
        <v>11.52</v>
      </c>
      <c r="F140" s="23">
        <f>1.58+1.95</f>
        <v>3.5300000000000002</v>
      </c>
      <c r="G140" s="23">
        <f>3.35+0.48</f>
        <v>3.83</v>
      </c>
      <c r="H140" s="23">
        <f>2.24</f>
        <v>2.2400000000000002</v>
      </c>
      <c r="I140" s="23">
        <f>0.16+1.39</f>
        <v>1.5499999999999998</v>
      </c>
      <c r="L140" s="23">
        <v>5</v>
      </c>
      <c r="M140" s="23">
        <v>0.01</v>
      </c>
      <c r="T140" s="23">
        <v>5</v>
      </c>
      <c r="U140" s="23">
        <v>0.01</v>
      </c>
      <c r="Z140" s="23">
        <v>30</v>
      </c>
      <c r="AA140" s="23">
        <v>0.31</v>
      </c>
      <c r="AP140" s="23">
        <v>1</v>
      </c>
      <c r="AY140" s="23">
        <v>1</v>
      </c>
      <c r="BV140" s="23">
        <v>1</v>
      </c>
      <c r="CA140" s="23">
        <v>1</v>
      </c>
    </row>
    <row r="141" spans="1:82" x14ac:dyDescent="0.2">
      <c r="A141" s="23" t="s">
        <v>406</v>
      </c>
      <c r="B141" s="25" t="s">
        <v>393</v>
      </c>
      <c r="C141" s="23" t="s">
        <v>100</v>
      </c>
      <c r="D141" s="23" t="s">
        <v>297</v>
      </c>
      <c r="E141" s="23">
        <f>1.14+16.48</f>
        <v>17.62</v>
      </c>
      <c r="F141" s="23">
        <f>1.05+0.59</f>
        <v>1.6400000000000001</v>
      </c>
      <c r="G141" s="23">
        <f>3.35+0.4</f>
        <v>3.75</v>
      </c>
      <c r="H141" s="23">
        <f>11.17</f>
        <v>11.17</v>
      </c>
      <c r="I141" s="23">
        <f>0.68+0.14</f>
        <v>0.82000000000000006</v>
      </c>
      <c r="L141" s="23">
        <v>1</v>
      </c>
      <c r="M141" s="23" t="s">
        <v>21</v>
      </c>
      <c r="Z141" s="23">
        <v>34</v>
      </c>
      <c r="AA141" s="23">
        <v>0.23</v>
      </c>
      <c r="BA141" s="23">
        <v>1</v>
      </c>
      <c r="BC141" s="23">
        <v>1</v>
      </c>
      <c r="BJ141" s="23">
        <v>1</v>
      </c>
      <c r="BR141" s="23">
        <v>1</v>
      </c>
    </row>
    <row r="142" spans="1:82" x14ac:dyDescent="0.2">
      <c r="A142" s="23" t="s">
        <v>407</v>
      </c>
      <c r="B142" s="25" t="s">
        <v>393</v>
      </c>
      <c r="C142" s="23" t="s">
        <v>408</v>
      </c>
      <c r="D142" s="23" t="s">
        <v>297</v>
      </c>
      <c r="E142" s="23">
        <f>2.04+15.62</f>
        <v>17.66</v>
      </c>
      <c r="F142" s="23">
        <f>1.92+1.17</f>
        <v>3.09</v>
      </c>
      <c r="G142" s="23">
        <f>6.79+0.39</f>
        <v>7.18</v>
      </c>
      <c r="H142" s="23">
        <f>4.11</f>
        <v>4.1100000000000003</v>
      </c>
      <c r="I142" s="23">
        <f>0.4+2.18</f>
        <v>2.58</v>
      </c>
      <c r="J142" s="23">
        <v>3</v>
      </c>
      <c r="K142" s="23">
        <v>0.01</v>
      </c>
      <c r="L142" s="23">
        <v>9</v>
      </c>
      <c r="M142" s="23">
        <v>0.02</v>
      </c>
      <c r="R142" s="23">
        <v>1</v>
      </c>
      <c r="S142" s="23" t="s">
        <v>21</v>
      </c>
      <c r="T142" s="23">
        <v>12</v>
      </c>
      <c r="U142" s="23">
        <v>0.04</v>
      </c>
      <c r="V142" s="23">
        <v>8</v>
      </c>
      <c r="W142" s="23">
        <v>0.02</v>
      </c>
      <c r="Z142" s="23">
        <v>43</v>
      </c>
      <c r="AA142" s="23">
        <v>0.45</v>
      </c>
      <c r="AF142" s="23">
        <v>2</v>
      </c>
      <c r="AG142" s="23" t="s">
        <v>21</v>
      </c>
      <c r="BJ142" s="23">
        <v>1</v>
      </c>
      <c r="CA142" s="23">
        <v>3</v>
      </c>
    </row>
    <row r="143" spans="1:82" x14ac:dyDescent="0.2">
      <c r="A143" s="23" t="s">
        <v>409</v>
      </c>
      <c r="B143" s="25" t="s">
        <v>393</v>
      </c>
      <c r="C143" s="23" t="s">
        <v>32</v>
      </c>
      <c r="D143" s="23" t="s">
        <v>297</v>
      </c>
      <c r="E143" s="23">
        <v>6.01</v>
      </c>
      <c r="F143" s="23">
        <f>0.51</f>
        <v>0.51</v>
      </c>
      <c r="G143" s="23">
        <f>2.89+0.17</f>
        <v>3.06</v>
      </c>
      <c r="H143" s="23">
        <v>1.53</v>
      </c>
      <c r="I143" s="23">
        <v>0.82</v>
      </c>
      <c r="J143" s="23">
        <v>2</v>
      </c>
      <c r="K143" s="23" t="s">
        <v>21</v>
      </c>
      <c r="L143" s="23">
        <v>3</v>
      </c>
      <c r="M143" s="23" t="s">
        <v>21</v>
      </c>
      <c r="R143" s="23">
        <v>1</v>
      </c>
      <c r="S143" s="23" t="s">
        <v>21</v>
      </c>
      <c r="T143" s="23">
        <v>2</v>
      </c>
      <c r="U143" s="23" t="s">
        <v>21</v>
      </c>
      <c r="Z143" s="23">
        <v>11</v>
      </c>
      <c r="AA143" s="23">
        <v>7.0000000000000007E-2</v>
      </c>
      <c r="BA143" s="23">
        <v>1</v>
      </c>
      <c r="BJ143" s="23">
        <v>1</v>
      </c>
      <c r="CA143" s="23">
        <v>1</v>
      </c>
    </row>
    <row r="144" spans="1:82" x14ac:dyDescent="0.2">
      <c r="A144" s="23" t="s">
        <v>410</v>
      </c>
      <c r="B144" s="25" t="s">
        <v>393</v>
      </c>
      <c r="C144" s="23" t="s">
        <v>35</v>
      </c>
      <c r="D144" s="23" t="s">
        <v>297</v>
      </c>
      <c r="E144" s="23">
        <f>18.08+0.74+1.07</f>
        <v>19.889999999999997</v>
      </c>
      <c r="F144" s="23">
        <f>1.07+0.27</f>
        <v>1.34</v>
      </c>
      <c r="G144" s="23">
        <f>5.43+0.26</f>
        <v>5.6899999999999995</v>
      </c>
      <c r="H144" s="23">
        <f>9.47</f>
        <v>9.4700000000000006</v>
      </c>
      <c r="I144" s="23">
        <f>0.15+1.07+1.74</f>
        <v>2.96</v>
      </c>
      <c r="J144" s="23">
        <v>2</v>
      </c>
      <c r="K144" s="23" t="s">
        <v>21</v>
      </c>
      <c r="L144" s="23">
        <v>2</v>
      </c>
      <c r="M144" s="23" t="s">
        <v>21</v>
      </c>
      <c r="R144" s="23">
        <v>4</v>
      </c>
      <c r="S144" s="23">
        <v>0.01</v>
      </c>
      <c r="T144" s="23">
        <v>6</v>
      </c>
      <c r="U144" s="23">
        <v>0.01</v>
      </c>
      <c r="Z144" s="23">
        <v>30</v>
      </c>
      <c r="AA144" s="23">
        <v>0.31</v>
      </c>
      <c r="AP144" s="23">
        <v>1</v>
      </c>
      <c r="AV144" s="23">
        <v>1</v>
      </c>
      <c r="BA144" s="23">
        <v>1</v>
      </c>
      <c r="BC144" s="23">
        <v>1</v>
      </c>
      <c r="BE144" s="23">
        <v>1</v>
      </c>
      <c r="BQ144" s="23">
        <v>1</v>
      </c>
      <c r="BU144" s="23">
        <v>1</v>
      </c>
      <c r="BY144" s="23">
        <v>1</v>
      </c>
      <c r="CA144" s="23">
        <v>2</v>
      </c>
      <c r="CD144" s="23">
        <v>39</v>
      </c>
    </row>
    <row r="145" spans="1:82" x14ac:dyDescent="0.2">
      <c r="A145" s="23" t="s">
        <v>412</v>
      </c>
      <c r="B145" s="25" t="s">
        <v>393</v>
      </c>
      <c r="C145" s="23" t="s">
        <v>38</v>
      </c>
      <c r="D145" s="23" t="s">
        <v>297</v>
      </c>
      <c r="E145" s="23">
        <f>0.67+12.87</f>
        <v>13.54</v>
      </c>
      <c r="F145" s="23">
        <v>3.39</v>
      </c>
      <c r="G145" s="23">
        <v>5.86</v>
      </c>
      <c r="H145" s="23">
        <v>3.14</v>
      </c>
      <c r="I145" s="23">
        <v>0.92</v>
      </c>
      <c r="J145" s="23">
        <v>3</v>
      </c>
      <c r="K145" s="23">
        <v>0.01</v>
      </c>
      <c r="L145" s="23">
        <v>5</v>
      </c>
      <c r="M145" s="23" t="s">
        <v>21</v>
      </c>
      <c r="R145" s="23">
        <v>3</v>
      </c>
      <c r="S145" s="23">
        <v>0.01</v>
      </c>
      <c r="T145" s="23">
        <v>7</v>
      </c>
      <c r="U145" s="23">
        <v>0.01</v>
      </c>
      <c r="Z145" s="23">
        <v>29</v>
      </c>
      <c r="AA145" s="23">
        <v>0.19</v>
      </c>
      <c r="AZ145" s="23">
        <v>1</v>
      </c>
      <c r="BA145" s="23">
        <v>1</v>
      </c>
      <c r="BW145" s="23">
        <v>1</v>
      </c>
      <c r="CA145" s="23">
        <v>3</v>
      </c>
      <c r="CD145" s="23">
        <v>45</v>
      </c>
    </row>
    <row r="146" spans="1:82" x14ac:dyDescent="0.2">
      <c r="A146" s="23" t="s">
        <v>413</v>
      </c>
      <c r="B146" s="25" t="s">
        <v>393</v>
      </c>
      <c r="C146" s="23" t="s">
        <v>42</v>
      </c>
      <c r="D146" s="23" t="s">
        <v>297</v>
      </c>
      <c r="E146" s="23">
        <v>7.29</v>
      </c>
      <c r="F146" s="23">
        <v>0.96</v>
      </c>
      <c r="G146" s="23">
        <v>3.57</v>
      </c>
      <c r="H146" s="23">
        <v>2.12</v>
      </c>
      <c r="I146" s="23">
        <v>0.49</v>
      </c>
      <c r="R146" s="23">
        <v>2</v>
      </c>
      <c r="S146" s="23" t="s">
        <v>21</v>
      </c>
      <c r="AA146" s="23">
        <v>0.11</v>
      </c>
      <c r="BT146" s="23">
        <v>1</v>
      </c>
      <c r="BY146" s="23">
        <v>1</v>
      </c>
      <c r="CA146" s="23">
        <v>1</v>
      </c>
      <c r="CD146" s="23">
        <v>7</v>
      </c>
    </row>
    <row r="147" spans="1:82" x14ac:dyDescent="0.2">
      <c r="A147" s="23" t="s">
        <v>414</v>
      </c>
      <c r="B147" s="25" t="s">
        <v>393</v>
      </c>
      <c r="C147" s="23" t="s">
        <v>131</v>
      </c>
      <c r="D147" s="23" t="s">
        <v>297</v>
      </c>
      <c r="E147" s="23">
        <f>8.44+1.17</f>
        <v>9.61</v>
      </c>
      <c r="F147" s="23">
        <f>0.93+0.35</f>
        <v>1.28</v>
      </c>
      <c r="G147" s="23">
        <f>5.18+0.46</f>
        <v>5.64</v>
      </c>
      <c r="H147" s="23">
        <f>1.36</f>
        <v>1.36</v>
      </c>
      <c r="I147" s="23">
        <f>0.83+0.35</f>
        <v>1.18</v>
      </c>
      <c r="J147" s="23">
        <v>1</v>
      </c>
      <c r="K147" s="23" t="s">
        <v>21</v>
      </c>
      <c r="Z147" s="23">
        <v>9</v>
      </c>
      <c r="AA147" s="23">
        <v>7.0000000000000007E-2</v>
      </c>
      <c r="BA147" s="23">
        <v>1</v>
      </c>
      <c r="CD147" s="23">
        <v>48</v>
      </c>
    </row>
    <row r="148" spans="1:82" x14ac:dyDescent="0.2">
      <c r="A148" s="23" t="s">
        <v>415</v>
      </c>
      <c r="B148" s="25" t="s">
        <v>393</v>
      </c>
      <c r="C148" s="23" t="s">
        <v>133</v>
      </c>
      <c r="D148" s="23" t="s">
        <v>297</v>
      </c>
      <c r="E148" s="23">
        <f>16.1+1.63</f>
        <v>17.73</v>
      </c>
      <c r="F148" s="23">
        <v>2.9</v>
      </c>
      <c r="G148" s="23">
        <v>9.94</v>
      </c>
      <c r="H148" s="23">
        <v>2.85</v>
      </c>
      <c r="I148" s="23">
        <v>1.89</v>
      </c>
      <c r="L148" s="23">
        <v>6</v>
      </c>
      <c r="M148" s="23">
        <v>0.01</v>
      </c>
      <c r="R148" s="23">
        <v>2</v>
      </c>
      <c r="S148" s="23" t="s">
        <v>21</v>
      </c>
      <c r="T148" s="23">
        <v>2</v>
      </c>
      <c r="U148" s="23" t="s">
        <v>21</v>
      </c>
      <c r="Z148" s="23">
        <v>7</v>
      </c>
      <c r="AA148" s="23">
        <v>0.12</v>
      </c>
      <c r="CD148" s="23">
        <v>44</v>
      </c>
    </row>
    <row r="149" spans="1:82" x14ac:dyDescent="0.2">
      <c r="A149" s="23" t="s">
        <v>416</v>
      </c>
      <c r="B149" s="25" t="s">
        <v>393</v>
      </c>
      <c r="C149" s="23" t="s">
        <v>134</v>
      </c>
      <c r="D149" s="23" t="s">
        <v>297</v>
      </c>
      <c r="E149" s="23">
        <f>23.27+2.21+0.24</f>
        <v>25.72</v>
      </c>
      <c r="F149" s="23">
        <f>0.86+1.9</f>
        <v>2.76</v>
      </c>
      <c r="G149" s="23">
        <f>6.98+0.71</f>
        <v>7.69</v>
      </c>
      <c r="H149" s="23">
        <f>11.74</f>
        <v>11.74</v>
      </c>
      <c r="I149" s="23">
        <f>1.97+0.61+0.24</f>
        <v>2.8200000000000003</v>
      </c>
      <c r="J149" s="23">
        <v>2</v>
      </c>
      <c r="K149" s="23">
        <v>0.01</v>
      </c>
      <c r="L149" s="23">
        <v>4</v>
      </c>
      <c r="M149" s="23" t="s">
        <v>21</v>
      </c>
      <c r="R149" s="23">
        <v>1</v>
      </c>
      <c r="S149" s="23" t="s">
        <v>21</v>
      </c>
      <c r="T149" s="23">
        <v>3</v>
      </c>
      <c r="U149" s="23" t="s">
        <v>21</v>
      </c>
      <c r="Z149" s="23">
        <v>28</v>
      </c>
      <c r="AA149" s="23">
        <v>0.55000000000000004</v>
      </c>
      <c r="AY149" s="23">
        <v>2</v>
      </c>
      <c r="BA149" s="23">
        <v>1</v>
      </c>
      <c r="CA149" s="23">
        <v>2</v>
      </c>
      <c r="CD149" s="23">
        <v>21</v>
      </c>
    </row>
    <row r="150" spans="1:82" x14ac:dyDescent="0.2">
      <c r="A150" s="23" t="s">
        <v>417</v>
      </c>
      <c r="B150" s="25" t="s">
        <v>418</v>
      </c>
      <c r="C150" s="23" t="s">
        <v>29</v>
      </c>
      <c r="D150" s="23" t="s">
        <v>297</v>
      </c>
      <c r="E150" s="23">
        <f>2.69+19.37</f>
        <v>22.060000000000002</v>
      </c>
      <c r="F150" s="23">
        <f>1.63*2</f>
        <v>3.26</v>
      </c>
      <c r="G150" s="23">
        <f>6.57+0.89</f>
        <v>7.46</v>
      </c>
      <c r="H150" s="23">
        <f>10.59</f>
        <v>10.59</v>
      </c>
      <c r="I150" s="23">
        <f>0.56</f>
        <v>0.56000000000000005</v>
      </c>
      <c r="J150" s="23">
        <v>1</v>
      </c>
      <c r="K150" s="23" t="s">
        <v>21</v>
      </c>
      <c r="L150" s="23">
        <v>6</v>
      </c>
      <c r="M150" s="23">
        <v>0.01</v>
      </c>
      <c r="R150" s="23">
        <v>1</v>
      </c>
      <c r="S150" s="23" t="s">
        <v>21</v>
      </c>
      <c r="Z150" s="23">
        <v>20</v>
      </c>
      <c r="AA150" s="23">
        <v>0.09</v>
      </c>
      <c r="BE150" s="23">
        <v>1</v>
      </c>
      <c r="BQ150" s="23">
        <v>1</v>
      </c>
      <c r="CA150" s="23">
        <v>4</v>
      </c>
      <c r="CD150" s="23">
        <v>153</v>
      </c>
    </row>
    <row r="151" spans="1:82" x14ac:dyDescent="0.2">
      <c r="A151" s="23" t="s">
        <v>419</v>
      </c>
      <c r="B151" s="25" t="s">
        <v>418</v>
      </c>
      <c r="C151" s="23" t="s">
        <v>59</v>
      </c>
      <c r="D151" s="23" t="s">
        <v>297</v>
      </c>
      <c r="E151" s="23">
        <f>33.44+1.5</f>
        <v>34.94</v>
      </c>
      <c r="F151" s="23">
        <f>0.93+0.82</f>
        <v>1.75</v>
      </c>
      <c r="G151" s="23">
        <f>4.71+0.5</f>
        <v>5.21</v>
      </c>
      <c r="H151" s="23">
        <v>27.45</v>
      </c>
      <c r="I151" s="23">
        <v>0.35</v>
      </c>
      <c r="T151" s="23">
        <v>3</v>
      </c>
      <c r="U151" s="23" t="s">
        <v>21</v>
      </c>
      <c r="Z151" s="23">
        <v>7</v>
      </c>
      <c r="AA151" s="23">
        <v>0.12</v>
      </c>
      <c r="AZ151" s="23">
        <v>1</v>
      </c>
      <c r="CD151" s="23">
        <v>216</v>
      </c>
    </row>
    <row r="152" spans="1:82" x14ac:dyDescent="0.2">
      <c r="A152" s="23" t="s">
        <v>420</v>
      </c>
      <c r="B152" s="25" t="s">
        <v>418</v>
      </c>
      <c r="C152" s="23" t="s">
        <v>63</v>
      </c>
      <c r="D152" s="23" t="s">
        <v>297</v>
      </c>
      <c r="E152" s="23">
        <f>1.99+16.7</f>
        <v>18.689999999999998</v>
      </c>
      <c r="F152" s="23">
        <v>3.64</v>
      </c>
      <c r="G152" s="23">
        <v>6.69</v>
      </c>
      <c r="H152" s="23">
        <v>7.61</v>
      </c>
      <c r="I152" s="23">
        <v>0.67</v>
      </c>
      <c r="T152" s="23">
        <v>1</v>
      </c>
      <c r="U152" s="23" t="s">
        <v>21</v>
      </c>
      <c r="Z152" s="23">
        <v>5</v>
      </c>
      <c r="AA152" s="23">
        <v>0.04</v>
      </c>
      <c r="AF152" s="23">
        <v>3</v>
      </c>
      <c r="AG152" s="23" t="s">
        <v>21</v>
      </c>
      <c r="AZ152" s="23">
        <v>1</v>
      </c>
      <c r="CD152" s="23">
        <v>26</v>
      </c>
    </row>
    <row r="153" spans="1:82" x14ac:dyDescent="0.2">
      <c r="A153" s="23" t="s">
        <v>421</v>
      </c>
      <c r="B153" s="25" t="s">
        <v>418</v>
      </c>
      <c r="C153" s="23" t="s">
        <v>66</v>
      </c>
      <c r="D153" s="23" t="s">
        <v>297</v>
      </c>
      <c r="E153" s="23">
        <f>1.38+5.82</f>
        <v>7.2</v>
      </c>
      <c r="F153" s="23">
        <f>0.95+0.83</f>
        <v>1.7799999999999998</v>
      </c>
      <c r="G153" s="23">
        <f>3.31+0.53</f>
        <v>3.84</v>
      </c>
      <c r="H153" s="23">
        <v>1.37</v>
      </c>
      <c r="I153" s="23">
        <v>0.12</v>
      </c>
      <c r="Z153" s="23">
        <v>3</v>
      </c>
      <c r="AA153" s="23">
        <v>0.02</v>
      </c>
      <c r="AF153" s="23">
        <v>2</v>
      </c>
      <c r="AG153" s="23" t="s">
        <v>21</v>
      </c>
      <c r="AP153" s="23">
        <v>2</v>
      </c>
      <c r="CD153" s="23">
        <v>42</v>
      </c>
    </row>
    <row r="154" spans="1:82" x14ac:dyDescent="0.2">
      <c r="A154" s="23" t="s">
        <v>422</v>
      </c>
      <c r="B154" s="25" t="s">
        <v>418</v>
      </c>
      <c r="C154" s="23" t="s">
        <v>32</v>
      </c>
      <c r="D154" s="23" t="s">
        <v>297</v>
      </c>
      <c r="E154" s="23">
        <f>1.51+0.16</f>
        <v>1.67</v>
      </c>
      <c r="F154" s="23">
        <v>0.17</v>
      </c>
      <c r="G154" s="23">
        <v>1.38</v>
      </c>
      <c r="H154" s="23">
        <v>0.06</v>
      </c>
      <c r="I154" s="23">
        <v>0.03</v>
      </c>
      <c r="Z154" s="23">
        <v>3</v>
      </c>
      <c r="AA154" s="23">
        <v>0.01</v>
      </c>
      <c r="AQ154" s="23">
        <v>1</v>
      </c>
    </row>
    <row r="155" spans="1:82" x14ac:dyDescent="0.2">
      <c r="A155" s="23" t="s">
        <v>423</v>
      </c>
      <c r="B155" s="25" t="s">
        <v>418</v>
      </c>
      <c r="C155" s="23" t="s">
        <v>23</v>
      </c>
      <c r="D155" s="23" t="s">
        <v>297</v>
      </c>
      <c r="E155" s="23">
        <v>1.48</v>
      </c>
      <c r="F155" s="23">
        <v>0.43</v>
      </c>
      <c r="G155" s="23">
        <v>0.96</v>
      </c>
      <c r="H155" s="23">
        <v>0.05</v>
      </c>
      <c r="I155" s="23">
        <v>0.03</v>
      </c>
      <c r="AD155" s="23">
        <v>3</v>
      </c>
      <c r="AE155" s="23" t="s">
        <v>21</v>
      </c>
      <c r="CD155" s="23">
        <v>5</v>
      </c>
    </row>
    <row r="156" spans="1:82" x14ac:dyDescent="0.2">
      <c r="A156" s="23" t="s">
        <v>424</v>
      </c>
      <c r="B156" s="25" t="s">
        <v>418</v>
      </c>
      <c r="C156" s="23" t="s">
        <v>102</v>
      </c>
      <c r="D156" s="23" t="s">
        <v>297</v>
      </c>
      <c r="E156" s="23">
        <f>2.9+0.38</f>
        <v>3.28</v>
      </c>
      <c r="F156" s="23">
        <v>0.6</v>
      </c>
      <c r="G156" s="23">
        <v>1.17</v>
      </c>
      <c r="H156" s="23">
        <v>1.21</v>
      </c>
      <c r="I156" s="23">
        <v>0.25</v>
      </c>
      <c r="T156" s="23">
        <v>2</v>
      </c>
      <c r="U156" s="23" t="s">
        <v>21</v>
      </c>
      <c r="Z156" s="23">
        <v>4</v>
      </c>
      <c r="AA156" s="23">
        <v>0.01</v>
      </c>
      <c r="AY156" s="23">
        <v>1</v>
      </c>
      <c r="CA156" s="23">
        <v>1</v>
      </c>
      <c r="CD156" s="23">
        <v>22</v>
      </c>
    </row>
    <row r="157" spans="1:82" x14ac:dyDescent="0.2">
      <c r="A157" s="23" t="s">
        <v>425</v>
      </c>
      <c r="B157" s="25" t="s">
        <v>418</v>
      </c>
      <c r="C157" s="23" t="s">
        <v>426</v>
      </c>
      <c r="D157" s="23" t="s">
        <v>297</v>
      </c>
      <c r="E157" s="23">
        <v>4.7699999999999996</v>
      </c>
      <c r="F157" s="23">
        <v>0.56999999999999995</v>
      </c>
      <c r="G157" s="23">
        <v>1.27</v>
      </c>
      <c r="H157" s="23">
        <v>2.37</v>
      </c>
      <c r="I157" s="23">
        <v>0.45</v>
      </c>
      <c r="T157" s="23">
        <v>1</v>
      </c>
      <c r="U157" s="23" t="s">
        <v>21</v>
      </c>
      <c r="Z157" s="23">
        <v>6</v>
      </c>
      <c r="AA157" s="23">
        <v>0.11</v>
      </c>
      <c r="BS157" s="23">
        <v>1</v>
      </c>
      <c r="CD157" s="23">
        <v>2</v>
      </c>
    </row>
    <row r="158" spans="1:82" x14ac:dyDescent="0.2">
      <c r="A158" s="23" t="s">
        <v>427</v>
      </c>
      <c r="B158" s="25" t="s">
        <v>418</v>
      </c>
      <c r="C158" s="23" t="s">
        <v>428</v>
      </c>
      <c r="D158" s="23" t="s">
        <v>297</v>
      </c>
      <c r="E158" s="23">
        <v>2.4500000000000002</v>
      </c>
      <c r="F158" s="23">
        <v>0.28000000000000003</v>
      </c>
      <c r="G158" s="23">
        <v>1.21</v>
      </c>
      <c r="H158" s="23">
        <v>0.54</v>
      </c>
      <c r="I158" s="23">
        <v>0.26</v>
      </c>
      <c r="J158" s="23">
        <v>2</v>
      </c>
      <c r="K158" s="23" t="s">
        <v>21</v>
      </c>
      <c r="T158" s="23">
        <v>2</v>
      </c>
      <c r="U158" s="23" t="s">
        <v>21</v>
      </c>
      <c r="Z158" s="23">
        <v>10</v>
      </c>
      <c r="AA158" s="23">
        <v>0.13</v>
      </c>
      <c r="AF158" s="23">
        <v>1</v>
      </c>
      <c r="AG158" s="23" t="s">
        <v>21</v>
      </c>
      <c r="CD158" s="23">
        <v>4</v>
      </c>
    </row>
    <row r="159" spans="1:82" x14ac:dyDescent="0.2">
      <c r="A159" s="23" t="s">
        <v>429</v>
      </c>
      <c r="B159" s="25" t="s">
        <v>418</v>
      </c>
      <c r="C159" s="23" t="s">
        <v>430</v>
      </c>
      <c r="D159" s="23" t="s">
        <v>297</v>
      </c>
      <c r="E159" s="23">
        <v>1.88</v>
      </c>
      <c r="F159" s="23">
        <v>0.41</v>
      </c>
      <c r="G159" s="23">
        <v>0.98</v>
      </c>
      <c r="H159" s="23">
        <v>0.28999999999999998</v>
      </c>
      <c r="I159" s="23">
        <v>0.13</v>
      </c>
      <c r="L159" s="23">
        <v>5</v>
      </c>
      <c r="M159" s="23" t="s">
        <v>21</v>
      </c>
      <c r="X159" s="23">
        <v>2</v>
      </c>
      <c r="Y159" s="23">
        <v>0.01</v>
      </c>
      <c r="Z159" s="23">
        <v>6</v>
      </c>
      <c r="AA159" s="23">
        <v>0.03</v>
      </c>
      <c r="AF159" s="23">
        <v>1</v>
      </c>
      <c r="AG159" s="23" t="s">
        <v>21</v>
      </c>
      <c r="CA159" s="23">
        <v>1</v>
      </c>
    </row>
    <row r="160" spans="1:82" x14ac:dyDescent="0.2">
      <c r="A160" s="23" t="s">
        <v>431</v>
      </c>
      <c r="B160" s="25" t="s">
        <v>418</v>
      </c>
      <c r="C160" s="23" t="s">
        <v>432</v>
      </c>
      <c r="D160" s="23" t="s">
        <v>297</v>
      </c>
      <c r="E160" s="23">
        <v>3.16</v>
      </c>
      <c r="F160" s="23">
        <v>1.55</v>
      </c>
      <c r="G160" s="23">
        <v>1.53</v>
      </c>
      <c r="I160" s="23">
        <v>0.06</v>
      </c>
      <c r="Z160" s="23">
        <v>2</v>
      </c>
      <c r="AA160" s="23">
        <v>0.01</v>
      </c>
    </row>
    <row r="161" spans="1:82" x14ac:dyDescent="0.2">
      <c r="A161" s="23" t="s">
        <v>433</v>
      </c>
      <c r="B161" s="25" t="s">
        <v>436</v>
      </c>
      <c r="C161" s="23" t="s">
        <v>29</v>
      </c>
      <c r="D161" s="23" t="s">
        <v>297</v>
      </c>
      <c r="E161" s="23">
        <f>77.48+12.02</f>
        <v>89.5</v>
      </c>
      <c r="F161" s="23">
        <f>7.22+6.79</f>
        <v>14.01</v>
      </c>
      <c r="G161" s="23">
        <f>22.11+3.52</f>
        <v>25.63</v>
      </c>
      <c r="H161" s="23">
        <f>27.28</f>
        <v>27.28</v>
      </c>
      <c r="I161" s="23">
        <f>1.34+2.54</f>
        <v>3.88</v>
      </c>
      <c r="J161" s="23">
        <v>21</v>
      </c>
      <c r="K161" s="23">
        <v>0.13</v>
      </c>
      <c r="L161" s="23">
        <v>7</v>
      </c>
      <c r="M161" s="23">
        <v>0.01</v>
      </c>
      <c r="R161" s="23">
        <v>8</v>
      </c>
      <c r="S161" s="23">
        <v>0.05</v>
      </c>
      <c r="T161" s="23">
        <v>5</v>
      </c>
      <c r="U161" s="23" t="s">
        <v>21</v>
      </c>
      <c r="X161" s="23">
        <v>1</v>
      </c>
      <c r="Y161" s="23" t="s">
        <v>21</v>
      </c>
      <c r="Z161" s="23">
        <v>59</v>
      </c>
      <c r="AA161" s="23">
        <v>0.41</v>
      </c>
      <c r="AP161" s="23">
        <v>2</v>
      </c>
      <c r="AS161" s="23">
        <v>1</v>
      </c>
      <c r="AZ161" s="23">
        <v>1</v>
      </c>
      <c r="BA161" s="23">
        <v>8</v>
      </c>
      <c r="BQ161" s="23">
        <v>1</v>
      </c>
      <c r="CA161" s="23">
        <v>4</v>
      </c>
      <c r="CD161" s="23">
        <v>500</v>
      </c>
    </row>
    <row r="162" spans="1:82" x14ac:dyDescent="0.2">
      <c r="A162" s="23" t="s">
        <v>434</v>
      </c>
      <c r="B162" s="25" t="s">
        <v>436</v>
      </c>
      <c r="C162" s="23" t="s">
        <v>59</v>
      </c>
      <c r="D162" s="23" t="s">
        <v>297</v>
      </c>
      <c r="E162" s="23">
        <f>32.1+2.85</f>
        <v>34.950000000000003</v>
      </c>
      <c r="F162" s="23">
        <f>1.25+3.72</f>
        <v>4.9700000000000006</v>
      </c>
      <c r="G162" s="23">
        <f>10.47+0.72</f>
        <v>11.190000000000001</v>
      </c>
      <c r="H162" s="23">
        <f>14.33</f>
        <v>14.33</v>
      </c>
      <c r="I162" s="23">
        <f>2.53+0.72</f>
        <v>3.25</v>
      </c>
      <c r="J162" s="23">
        <v>9</v>
      </c>
      <c r="K162" s="23">
        <v>0.11</v>
      </c>
      <c r="L162" s="23">
        <v>10</v>
      </c>
      <c r="M162" s="23">
        <v>0.01</v>
      </c>
      <c r="R162" s="23">
        <v>16</v>
      </c>
      <c r="S162" s="23">
        <v>0.06</v>
      </c>
      <c r="T162" s="23">
        <v>16</v>
      </c>
      <c r="U162" s="23">
        <v>0.01</v>
      </c>
      <c r="Z162" s="23">
        <v>119</v>
      </c>
      <c r="AA162" s="23">
        <v>0.74</v>
      </c>
      <c r="AP162" s="23">
        <v>1</v>
      </c>
      <c r="AV162" s="23">
        <v>0</v>
      </c>
      <c r="AY162" s="23">
        <v>3</v>
      </c>
      <c r="AZ162" s="23">
        <v>3</v>
      </c>
      <c r="BE162" s="23">
        <v>2</v>
      </c>
      <c r="BJ162" s="23">
        <v>2</v>
      </c>
      <c r="BT162" s="23">
        <v>1</v>
      </c>
      <c r="CA162" s="23">
        <v>4</v>
      </c>
    </row>
    <row r="163" spans="1:82" x14ac:dyDescent="0.2">
      <c r="A163" s="23" t="s">
        <v>437</v>
      </c>
      <c r="B163" s="25" t="s">
        <v>436</v>
      </c>
      <c r="C163" s="23" t="s">
        <v>63</v>
      </c>
      <c r="D163" s="23" t="s">
        <v>297</v>
      </c>
      <c r="E163" s="23">
        <f>1.4+95.81</f>
        <v>97.210000000000008</v>
      </c>
      <c r="F163" s="23">
        <v>3.7</v>
      </c>
      <c r="G163" s="23">
        <f>12.41+0.39</f>
        <v>12.8</v>
      </c>
      <c r="H163" s="23">
        <v>78.34</v>
      </c>
      <c r="I163" s="23">
        <f>1.45+0.15</f>
        <v>1.5999999999999999</v>
      </c>
      <c r="L163" s="23">
        <v>6</v>
      </c>
      <c r="M163" s="23">
        <v>0.01</v>
      </c>
      <c r="R163" s="23">
        <v>8</v>
      </c>
      <c r="S163" s="23">
        <v>0.05</v>
      </c>
      <c r="T163" s="23">
        <v>13</v>
      </c>
      <c r="U163" s="23">
        <v>0.02</v>
      </c>
      <c r="Z163" s="23">
        <v>67</v>
      </c>
      <c r="AA163" s="23">
        <v>0.57999999999999996</v>
      </c>
      <c r="AP163" s="23">
        <v>2</v>
      </c>
      <c r="AZ163" s="23">
        <v>2</v>
      </c>
      <c r="BA163" s="23">
        <v>3</v>
      </c>
      <c r="BJ163" s="23">
        <v>2</v>
      </c>
      <c r="CA163" s="23">
        <v>5</v>
      </c>
      <c r="CD163" s="23">
        <v>72</v>
      </c>
    </row>
    <row r="164" spans="1:82" x14ac:dyDescent="0.2">
      <c r="A164" s="23" t="s">
        <v>438</v>
      </c>
      <c r="B164" s="25" t="s">
        <v>436</v>
      </c>
      <c r="C164" s="23" t="s">
        <v>66</v>
      </c>
      <c r="D164" s="23" t="s">
        <v>297</v>
      </c>
      <c r="E164" s="23">
        <v>22.5</v>
      </c>
      <c r="F164" s="23">
        <f>3.97+0.65</f>
        <v>4.62</v>
      </c>
      <c r="G164" s="23">
        <f>11.32+0.48</f>
        <v>11.8</v>
      </c>
      <c r="H164" s="23">
        <f>3.17</f>
        <v>3.17</v>
      </c>
      <c r="I164" s="23">
        <f>2.28</f>
        <v>2.2799999999999998</v>
      </c>
      <c r="J164" s="23">
        <v>2</v>
      </c>
      <c r="K164" s="23">
        <v>0.01</v>
      </c>
      <c r="R164" s="23">
        <v>3</v>
      </c>
      <c r="S164" s="23">
        <v>0.01</v>
      </c>
      <c r="T164" s="23">
        <v>6</v>
      </c>
      <c r="U164" s="23">
        <v>0.01</v>
      </c>
      <c r="Z164" s="23">
        <v>42</v>
      </c>
      <c r="AA164" s="23">
        <v>0.47</v>
      </c>
      <c r="AP164" s="23">
        <v>2</v>
      </c>
      <c r="BA164" s="23">
        <v>2</v>
      </c>
      <c r="BS164" s="23">
        <v>1</v>
      </c>
      <c r="CA164" s="23">
        <v>2</v>
      </c>
      <c r="CD164" s="23">
        <v>106</v>
      </c>
    </row>
    <row r="165" spans="1:82" x14ac:dyDescent="0.2">
      <c r="A165" s="23" t="s">
        <v>439</v>
      </c>
      <c r="B165" s="25" t="s">
        <v>436</v>
      </c>
      <c r="C165" s="23" t="s">
        <v>69</v>
      </c>
      <c r="D165" s="23" t="s">
        <v>297</v>
      </c>
      <c r="E165" s="23">
        <f>1.09+16.87</f>
        <v>17.96</v>
      </c>
      <c r="F165" s="23">
        <f>1.65+0.53</f>
        <v>2.1799999999999997</v>
      </c>
      <c r="G165" s="23">
        <f>7.83+0.39</f>
        <v>8.2200000000000006</v>
      </c>
      <c r="H165" s="23">
        <f>6.19</f>
        <v>6.19</v>
      </c>
      <c r="I165" s="23">
        <f>1.16</f>
        <v>1.1599999999999999</v>
      </c>
      <c r="J165" s="23">
        <v>5</v>
      </c>
      <c r="K165" s="23">
        <v>0.01</v>
      </c>
      <c r="T165" s="23">
        <v>4</v>
      </c>
      <c r="U165" s="23" t="s">
        <v>21</v>
      </c>
      <c r="Z165" s="23">
        <v>40</v>
      </c>
      <c r="AA165" s="23">
        <v>0.28000000000000003</v>
      </c>
      <c r="AP165" s="23">
        <v>1</v>
      </c>
      <c r="BA165" s="23">
        <v>1</v>
      </c>
      <c r="CA165" s="23">
        <v>4</v>
      </c>
      <c r="CD165" s="23">
        <v>27</v>
      </c>
    </row>
    <row r="166" spans="1:82" x14ac:dyDescent="0.2">
      <c r="A166" s="23" t="s">
        <v>440</v>
      </c>
      <c r="B166" s="25" t="s">
        <v>436</v>
      </c>
      <c r="C166" s="23" t="s">
        <v>72</v>
      </c>
      <c r="D166" s="23" t="s">
        <v>297</v>
      </c>
      <c r="E166" s="23">
        <f>1.99+21.65</f>
        <v>23.639999999999997</v>
      </c>
      <c r="F166" s="23">
        <f>3.95+0.78</f>
        <v>4.7300000000000004</v>
      </c>
      <c r="G166" s="23">
        <f>12.27+0.59</f>
        <v>12.86</v>
      </c>
      <c r="H166" s="23">
        <f>2.99</f>
        <v>2.99</v>
      </c>
      <c r="I166" s="23">
        <f>2.56</f>
        <v>2.56</v>
      </c>
      <c r="J166" s="23">
        <v>4</v>
      </c>
      <c r="K166" s="23">
        <v>0.02</v>
      </c>
      <c r="T166" s="23">
        <v>3</v>
      </c>
      <c r="U166" s="23" t="s">
        <v>21</v>
      </c>
      <c r="Z166" s="23">
        <v>34</v>
      </c>
      <c r="AA166" s="23">
        <v>0.32</v>
      </c>
      <c r="AZ166" s="23">
        <v>1</v>
      </c>
      <c r="BA166" s="23">
        <v>1</v>
      </c>
      <c r="CA166" s="23">
        <v>2</v>
      </c>
      <c r="CD166" s="23">
        <v>25</v>
      </c>
    </row>
    <row r="167" spans="1:82" x14ac:dyDescent="0.2">
      <c r="A167" s="23" t="s">
        <v>441</v>
      </c>
      <c r="B167" s="25" t="s">
        <v>436</v>
      </c>
      <c r="C167" s="23" t="s">
        <v>89</v>
      </c>
      <c r="D167" s="23" t="s">
        <v>297</v>
      </c>
      <c r="E167" s="23">
        <f>2.23+26.59</f>
        <v>28.82</v>
      </c>
      <c r="F167" s="23">
        <f>3.08+0.75</f>
        <v>3.83</v>
      </c>
      <c r="G167" s="23">
        <f>10.9</f>
        <v>10.9</v>
      </c>
      <c r="H167" s="23">
        <f>10.17</f>
        <v>10.17</v>
      </c>
      <c r="I167" s="23">
        <f>2.76+0.62</f>
        <v>3.38</v>
      </c>
      <c r="L167" s="23">
        <v>2</v>
      </c>
      <c r="M167" s="23" t="s">
        <v>21</v>
      </c>
      <c r="R167" s="23">
        <v>7</v>
      </c>
      <c r="S167" s="23">
        <v>0.03</v>
      </c>
      <c r="Z167" s="23">
        <v>32</v>
      </c>
      <c r="AA167" s="23">
        <v>0.46</v>
      </c>
      <c r="AZ167" s="23">
        <v>1</v>
      </c>
      <c r="CA167" s="23">
        <v>1</v>
      </c>
      <c r="CD167" s="23">
        <v>76</v>
      </c>
    </row>
    <row r="168" spans="1:82" x14ac:dyDescent="0.2">
      <c r="A168" s="23" t="s">
        <v>442</v>
      </c>
      <c r="B168" s="25" t="s">
        <v>436</v>
      </c>
      <c r="C168" s="23" t="s">
        <v>92</v>
      </c>
      <c r="D168" s="23" t="s">
        <v>297</v>
      </c>
      <c r="E168" s="23">
        <f>34.95+0.12+2.18</f>
        <v>37.25</v>
      </c>
      <c r="F168" s="23">
        <f>0.82+0.53</f>
        <v>1.35</v>
      </c>
      <c r="G168" s="23">
        <f>9.44+0.62</f>
        <v>10.059999999999999</v>
      </c>
      <c r="H168" s="23">
        <f>21.58+0.12</f>
        <v>21.7</v>
      </c>
      <c r="I168" s="23">
        <f>3.96</f>
        <v>3.96</v>
      </c>
      <c r="J168" s="23">
        <v>2</v>
      </c>
      <c r="K168" s="23">
        <v>0.03</v>
      </c>
      <c r="R168" s="23">
        <v>2</v>
      </c>
      <c r="S168" s="23" t="s">
        <v>21</v>
      </c>
      <c r="T168" s="23">
        <v>4</v>
      </c>
      <c r="U168" s="23" t="s">
        <v>21</v>
      </c>
      <c r="Z168" s="23">
        <v>21</v>
      </c>
      <c r="AA168" s="23">
        <v>0.11</v>
      </c>
      <c r="BE168" s="23">
        <v>1</v>
      </c>
      <c r="CD168" s="23">
        <v>27</v>
      </c>
    </row>
    <row r="169" spans="1:82" x14ac:dyDescent="0.2">
      <c r="A169" s="23" t="s">
        <v>443</v>
      </c>
      <c r="B169" s="25" t="s">
        <v>436</v>
      </c>
      <c r="C169" s="23" t="s">
        <v>391</v>
      </c>
      <c r="D169" s="23" t="s">
        <v>297</v>
      </c>
      <c r="E169" s="23">
        <f>41.09+2.12+0.29</f>
        <v>43.5</v>
      </c>
      <c r="F169" s="23">
        <f>3.2+0.69</f>
        <v>3.89</v>
      </c>
      <c r="G169" s="23">
        <f>14.94+0.64</f>
        <v>15.58</v>
      </c>
      <c r="H169" s="23">
        <v>19.29</v>
      </c>
      <c r="I169" s="23">
        <f>3.69+0.77</f>
        <v>4.46</v>
      </c>
      <c r="J169" s="23">
        <v>3</v>
      </c>
      <c r="K169" s="23" t="s">
        <v>21</v>
      </c>
      <c r="L169" s="23">
        <v>1</v>
      </c>
      <c r="M169" s="23" t="s">
        <v>21</v>
      </c>
      <c r="T169" s="23">
        <v>2</v>
      </c>
      <c r="U169" s="23" t="s">
        <v>21</v>
      </c>
      <c r="Z169" s="23">
        <v>22</v>
      </c>
      <c r="AA169" s="23">
        <v>0.26</v>
      </c>
      <c r="AZ169" s="23">
        <v>1</v>
      </c>
      <c r="BA169" s="23">
        <v>1</v>
      </c>
      <c r="BJ169" s="23">
        <v>1</v>
      </c>
      <c r="BS169" s="23">
        <v>1</v>
      </c>
      <c r="CD169" s="23">
        <v>16</v>
      </c>
    </row>
    <row r="170" spans="1:82" x14ac:dyDescent="0.2">
      <c r="A170" s="23" t="s">
        <v>448</v>
      </c>
      <c r="B170" s="25" t="s">
        <v>436</v>
      </c>
      <c r="C170" s="23" t="s">
        <v>95</v>
      </c>
      <c r="D170" s="23" t="s">
        <v>297</v>
      </c>
      <c r="E170" s="23">
        <f>1.96+56.8</f>
        <v>58.76</v>
      </c>
      <c r="F170" s="23">
        <f>2.92+0.59</f>
        <v>3.51</v>
      </c>
      <c r="G170" s="23">
        <f>10.8+0.61</f>
        <v>11.41</v>
      </c>
      <c r="H170" s="23">
        <f>37.83</f>
        <v>37.83</v>
      </c>
      <c r="I170" s="23">
        <f>4.77+0.73</f>
        <v>5.5</v>
      </c>
      <c r="J170" s="23">
        <v>5</v>
      </c>
      <c r="K170" s="23">
        <v>0.02</v>
      </c>
      <c r="L170" s="23">
        <v>7</v>
      </c>
      <c r="M170" s="23">
        <v>0.01</v>
      </c>
      <c r="T170" s="23">
        <v>3</v>
      </c>
      <c r="U170" s="23" t="s">
        <v>21</v>
      </c>
      <c r="Z170" s="23">
        <v>20</v>
      </c>
      <c r="AA170" s="23">
        <v>0.21</v>
      </c>
      <c r="AZ170" s="23">
        <v>1</v>
      </c>
      <c r="BA170" s="23">
        <v>1</v>
      </c>
      <c r="BU170" s="23">
        <v>3</v>
      </c>
      <c r="BY170" s="23">
        <v>1</v>
      </c>
      <c r="CA170" s="23">
        <v>1</v>
      </c>
      <c r="CD170" s="23">
        <v>9</v>
      </c>
    </row>
    <row r="171" spans="1:82" x14ac:dyDescent="0.2">
      <c r="A171" s="23" t="s">
        <v>449</v>
      </c>
      <c r="B171" s="25" t="s">
        <v>436</v>
      </c>
      <c r="C171" s="23" t="s">
        <v>97</v>
      </c>
      <c r="D171" s="23" t="s">
        <v>297</v>
      </c>
      <c r="E171" s="23">
        <f>2.83+51.36</f>
        <v>54.19</v>
      </c>
      <c r="F171" s="23">
        <f>3.47+0.88</f>
        <v>4.3500000000000005</v>
      </c>
      <c r="G171" s="23">
        <f>10.62+1.01</f>
        <v>11.629999999999999</v>
      </c>
      <c r="H171" s="23">
        <f>33.19</f>
        <v>33.19</v>
      </c>
      <c r="I171" s="23">
        <f>3.49+0.89</f>
        <v>4.38</v>
      </c>
      <c r="J171" s="23">
        <v>6</v>
      </c>
      <c r="K171" s="23">
        <v>0.03</v>
      </c>
      <c r="L171" s="23">
        <v>5</v>
      </c>
      <c r="M171" s="23" t="s">
        <v>21</v>
      </c>
      <c r="R171" s="23">
        <v>3</v>
      </c>
      <c r="S171" s="23">
        <v>0.01</v>
      </c>
      <c r="T171" s="23">
        <v>4</v>
      </c>
      <c r="U171" s="23" t="s">
        <v>21</v>
      </c>
      <c r="Z171" s="23">
        <v>34</v>
      </c>
      <c r="AA171" s="23">
        <v>0.31</v>
      </c>
      <c r="BA171" s="23">
        <v>1</v>
      </c>
      <c r="BG171" s="23">
        <v>1</v>
      </c>
      <c r="BJ171" s="23">
        <v>1</v>
      </c>
      <c r="BU171" s="23">
        <v>3</v>
      </c>
      <c r="CA171" s="23">
        <v>4</v>
      </c>
      <c r="CD171" s="23">
        <v>11</v>
      </c>
    </row>
    <row r="172" spans="1:82" x14ac:dyDescent="0.2">
      <c r="A172" s="23" t="s">
        <v>450</v>
      </c>
      <c r="B172" s="25" t="s">
        <v>436</v>
      </c>
      <c r="C172" s="23" t="s">
        <v>99</v>
      </c>
      <c r="D172" s="23" t="s">
        <v>297</v>
      </c>
      <c r="E172" s="23">
        <f>1.04+1.08+9.71</f>
        <v>11.830000000000002</v>
      </c>
      <c r="F172" s="23">
        <f>1.34+0.48</f>
        <v>1.82</v>
      </c>
      <c r="G172" s="23">
        <f>5.48+0.46</f>
        <v>5.94</v>
      </c>
      <c r="H172" s="23">
        <f>2.21</f>
        <v>2.21</v>
      </c>
      <c r="I172" s="23">
        <f>1.43+0.08</f>
        <v>1.51</v>
      </c>
      <c r="J172" s="23">
        <v>4</v>
      </c>
      <c r="K172" s="23">
        <v>0.01</v>
      </c>
      <c r="L172" s="23">
        <v>5</v>
      </c>
      <c r="M172" s="23" t="s">
        <v>21</v>
      </c>
      <c r="R172" s="23">
        <v>1</v>
      </c>
      <c r="S172" s="23" t="s">
        <v>21</v>
      </c>
      <c r="Z172" s="23">
        <v>25</v>
      </c>
      <c r="AA172" s="23">
        <v>0.33</v>
      </c>
      <c r="AF172" s="23">
        <v>1</v>
      </c>
      <c r="AG172" s="23" t="s">
        <v>21</v>
      </c>
      <c r="BY172" s="23">
        <v>1</v>
      </c>
      <c r="CA172" s="23">
        <v>1</v>
      </c>
      <c r="CD172" s="23">
        <v>9</v>
      </c>
    </row>
    <row r="173" spans="1:82" x14ac:dyDescent="0.2">
      <c r="A173" s="23" t="s">
        <v>451</v>
      </c>
      <c r="B173" s="25" t="s">
        <v>436</v>
      </c>
      <c r="C173" s="23" t="s">
        <v>100</v>
      </c>
      <c r="D173" s="23" t="s">
        <v>297</v>
      </c>
      <c r="E173" s="23">
        <f>16.16+1.45</f>
        <v>17.61</v>
      </c>
      <c r="F173" s="23">
        <f>1.93+0.55</f>
        <v>2.48</v>
      </c>
      <c r="G173" s="23">
        <f>6.49+0.53</f>
        <v>7.0200000000000005</v>
      </c>
      <c r="H173" s="23">
        <f>5.3</f>
        <v>5.3</v>
      </c>
      <c r="I173" s="23">
        <f>2.19+0.35</f>
        <v>2.54</v>
      </c>
      <c r="J173" s="23">
        <v>3</v>
      </c>
      <c r="K173" s="23">
        <v>0.01</v>
      </c>
      <c r="L173" s="23">
        <v>3</v>
      </c>
      <c r="M173" s="23" t="s">
        <v>21</v>
      </c>
      <c r="R173" s="23">
        <v>1</v>
      </c>
      <c r="S173" s="23" t="s">
        <v>21</v>
      </c>
      <c r="Z173" s="23">
        <v>22</v>
      </c>
      <c r="AA173" s="23">
        <v>0.22</v>
      </c>
      <c r="AY173" s="23">
        <v>1</v>
      </c>
      <c r="BA173" s="23">
        <v>2</v>
      </c>
      <c r="BY173" s="23">
        <v>1</v>
      </c>
      <c r="CD173" s="23">
        <v>22</v>
      </c>
    </row>
    <row r="174" spans="1:82" x14ac:dyDescent="0.2">
      <c r="A174" s="23" t="s">
        <v>452</v>
      </c>
      <c r="B174" s="25" t="s">
        <v>436</v>
      </c>
      <c r="C174" s="23" t="s">
        <v>408</v>
      </c>
      <c r="D174" s="23" t="s">
        <v>297</v>
      </c>
      <c r="E174" s="23">
        <f>5.5</f>
        <v>5.5</v>
      </c>
      <c r="F174" s="23">
        <f>0.75+0.17</f>
        <v>0.92</v>
      </c>
      <c r="G174" s="23">
        <v>3.05</v>
      </c>
      <c r="H174" s="23">
        <f>0.51</f>
        <v>0.51</v>
      </c>
      <c r="I174" s="23">
        <f>0.9</f>
        <v>0.9</v>
      </c>
      <c r="J174" s="23">
        <v>2</v>
      </c>
      <c r="K174" s="23">
        <v>0.01</v>
      </c>
      <c r="Z174" s="23">
        <v>17</v>
      </c>
      <c r="AA174" s="23">
        <v>0.1</v>
      </c>
      <c r="AY174" s="23">
        <v>1</v>
      </c>
      <c r="AZ174" s="23">
        <v>1</v>
      </c>
      <c r="BY174" s="23">
        <v>1</v>
      </c>
      <c r="CA174" s="23">
        <v>1</v>
      </c>
    </row>
    <row r="175" spans="1:82" x14ac:dyDescent="0.2">
      <c r="A175" s="23" t="s">
        <v>453</v>
      </c>
      <c r="B175" s="25" t="s">
        <v>436</v>
      </c>
      <c r="C175" s="23" t="s">
        <v>454</v>
      </c>
      <c r="D175" s="23" t="s">
        <v>297</v>
      </c>
      <c r="E175" s="23">
        <v>1.92</v>
      </c>
      <c r="F175" s="23">
        <v>0.28000000000000003</v>
      </c>
      <c r="G175" s="23">
        <v>1.1499999999999999</v>
      </c>
      <c r="H175" s="23">
        <v>0.22</v>
      </c>
      <c r="I175" s="23">
        <v>0.22</v>
      </c>
      <c r="Z175" s="23">
        <v>4</v>
      </c>
      <c r="AA175" s="23">
        <v>0.04</v>
      </c>
    </row>
    <row r="176" spans="1:82" x14ac:dyDescent="0.2">
      <c r="A176" s="23" t="s">
        <v>455</v>
      </c>
      <c r="B176" s="25" t="s">
        <v>436</v>
      </c>
      <c r="C176" s="23" t="s">
        <v>32</v>
      </c>
      <c r="D176" s="23" t="s">
        <v>297</v>
      </c>
      <c r="E176" s="23">
        <f>27.59+2.54</f>
        <v>30.13</v>
      </c>
      <c r="F176" s="23">
        <f>3.84+1.25</f>
        <v>5.09</v>
      </c>
      <c r="G176" s="23">
        <f>15.54+0.77</f>
        <v>16.309999999999999</v>
      </c>
      <c r="H176" s="23">
        <f>6.42</f>
        <v>6.42</v>
      </c>
      <c r="I176" s="23">
        <f>1.36+0.33</f>
        <v>1.6900000000000002</v>
      </c>
      <c r="J176" s="23">
        <v>7</v>
      </c>
      <c r="K176" s="23">
        <v>0.05</v>
      </c>
      <c r="L176" s="23">
        <v>8</v>
      </c>
      <c r="M176" s="23">
        <v>0.01</v>
      </c>
      <c r="R176" s="23">
        <v>6</v>
      </c>
      <c r="S176" s="23">
        <v>0.05</v>
      </c>
      <c r="T176" s="23">
        <v>6</v>
      </c>
      <c r="U176" s="23" t="s">
        <v>21</v>
      </c>
      <c r="Z176" s="23">
        <v>40</v>
      </c>
      <c r="AA176" s="23">
        <v>0.37</v>
      </c>
      <c r="AP176" s="23">
        <v>2</v>
      </c>
      <c r="AY176" s="23">
        <v>1</v>
      </c>
      <c r="AZ176" s="23">
        <v>1</v>
      </c>
      <c r="BJ176" s="23">
        <v>1</v>
      </c>
      <c r="BT176" s="23">
        <v>1</v>
      </c>
      <c r="BY176" s="23">
        <v>1</v>
      </c>
      <c r="CA176" s="23">
        <v>2</v>
      </c>
      <c r="CD176" s="23">
        <v>207</v>
      </c>
    </row>
    <row r="177" spans="1:82" x14ac:dyDescent="0.2">
      <c r="A177" s="23" t="s">
        <v>456</v>
      </c>
      <c r="B177" s="25" t="s">
        <v>436</v>
      </c>
      <c r="C177" s="23" t="s">
        <v>35</v>
      </c>
      <c r="D177" s="23" t="s">
        <v>297</v>
      </c>
      <c r="E177" s="23">
        <v>6.57</v>
      </c>
      <c r="F177" s="23">
        <v>1.24</v>
      </c>
      <c r="G177" s="23">
        <v>3.09</v>
      </c>
      <c r="H177" s="23">
        <v>1.76</v>
      </c>
      <c r="I177" s="23">
        <v>0.39</v>
      </c>
      <c r="T177" s="23">
        <v>1</v>
      </c>
      <c r="U177" s="23" t="s">
        <v>21</v>
      </c>
      <c r="Z177" s="23">
        <v>10</v>
      </c>
      <c r="AA177" s="23">
        <v>0.08</v>
      </c>
      <c r="BC177" s="23">
        <v>1</v>
      </c>
      <c r="CD177" s="23">
        <v>21</v>
      </c>
    </row>
    <row r="178" spans="1:82" x14ac:dyDescent="0.2">
      <c r="A178" s="23" t="s">
        <v>457</v>
      </c>
      <c r="B178" s="25" t="s">
        <v>436</v>
      </c>
      <c r="C178" s="23" t="s">
        <v>38</v>
      </c>
      <c r="D178" s="23" t="s">
        <v>297</v>
      </c>
      <c r="E178" s="23">
        <f>25.66+0.74</f>
        <v>26.4</v>
      </c>
      <c r="F178" s="23">
        <f>3.77</f>
        <v>3.77</v>
      </c>
      <c r="G178" s="23">
        <v>7.78</v>
      </c>
      <c r="H178" s="23">
        <v>12.93</v>
      </c>
      <c r="I178" s="23">
        <v>1.62</v>
      </c>
      <c r="J178" s="23">
        <v>1</v>
      </c>
      <c r="K178" s="23" t="s">
        <v>21</v>
      </c>
      <c r="L178" s="23">
        <v>6</v>
      </c>
      <c r="M178" s="23">
        <v>0.01</v>
      </c>
      <c r="T178" s="23">
        <v>1</v>
      </c>
      <c r="U178" s="23" t="s">
        <v>21</v>
      </c>
      <c r="Z178" s="23">
        <v>24</v>
      </c>
      <c r="AA178" s="23">
        <v>0.26</v>
      </c>
      <c r="AZ178" s="23">
        <v>1</v>
      </c>
      <c r="BU178" s="23">
        <v>1</v>
      </c>
    </row>
    <row r="179" spans="1:82" x14ac:dyDescent="0.2">
      <c r="A179" s="23" t="s">
        <v>510</v>
      </c>
      <c r="B179" s="25" t="s">
        <v>511</v>
      </c>
      <c r="C179" s="23" t="s">
        <v>63</v>
      </c>
      <c r="D179" s="23" t="s">
        <v>297</v>
      </c>
      <c r="E179" s="23">
        <f>35.37+3.05</f>
        <v>38.419999999999995</v>
      </c>
      <c r="F179" s="23">
        <f>5.19+1.06</f>
        <v>6.25</v>
      </c>
      <c r="G179" s="23">
        <f>17.19+1.33</f>
        <v>18.520000000000003</v>
      </c>
      <c r="H179" s="23">
        <f>9.82</f>
        <v>9.82</v>
      </c>
      <c r="I179" s="23">
        <f>3.2</f>
        <v>3.2</v>
      </c>
      <c r="J179" s="23">
        <v>2</v>
      </c>
      <c r="K179" s="23">
        <v>0.01</v>
      </c>
      <c r="R179" s="23">
        <v>2</v>
      </c>
      <c r="S179" s="23">
        <v>0.01</v>
      </c>
      <c r="T179" s="23">
        <v>1</v>
      </c>
      <c r="U179" s="23" t="s">
        <v>21</v>
      </c>
      <c r="Z179" s="23">
        <v>28</v>
      </c>
      <c r="AA179" s="23">
        <v>0.44</v>
      </c>
      <c r="AY179" s="23">
        <v>1</v>
      </c>
      <c r="AZ179" s="23">
        <v>2</v>
      </c>
      <c r="BU179" s="23">
        <v>1</v>
      </c>
      <c r="CA179" s="23">
        <v>2</v>
      </c>
      <c r="CD179" s="23">
        <v>500</v>
      </c>
    </row>
    <row r="180" spans="1:82" x14ac:dyDescent="0.2">
      <c r="A180" s="23" t="s">
        <v>512</v>
      </c>
      <c r="B180" s="25" t="s">
        <v>511</v>
      </c>
      <c r="C180" s="23" t="s">
        <v>66</v>
      </c>
      <c r="D180" s="23" t="s">
        <v>297</v>
      </c>
      <c r="E180" s="23">
        <f>26.67+1.18</f>
        <v>27.85</v>
      </c>
      <c r="F180" s="23">
        <f>3.12</f>
        <v>3.12</v>
      </c>
      <c r="G180" s="23">
        <f>10.18+0.62</f>
        <v>10.799999999999999</v>
      </c>
      <c r="H180" s="23">
        <f>11.7</f>
        <v>11.7</v>
      </c>
      <c r="I180" s="23">
        <v>1.91</v>
      </c>
      <c r="J180" s="23">
        <v>9</v>
      </c>
      <c r="K180" s="23">
        <v>0.14000000000000001</v>
      </c>
      <c r="R180" s="23">
        <v>2</v>
      </c>
      <c r="S180" s="23">
        <v>0.01</v>
      </c>
      <c r="T180" s="23">
        <v>2</v>
      </c>
      <c r="U180" s="23" t="s">
        <v>21</v>
      </c>
      <c r="Z180" s="23">
        <v>7</v>
      </c>
      <c r="AA180" s="23">
        <v>0.09</v>
      </c>
      <c r="BA180" s="23">
        <v>1</v>
      </c>
      <c r="CD180" s="23">
        <v>215</v>
      </c>
    </row>
    <row r="181" spans="1:82" x14ac:dyDescent="0.2">
      <c r="A181" s="23" t="s">
        <v>513</v>
      </c>
      <c r="B181" s="25" t="s">
        <v>511</v>
      </c>
      <c r="C181" s="23" t="s">
        <v>69</v>
      </c>
      <c r="D181" s="23" t="s">
        <v>297</v>
      </c>
      <c r="E181" s="23">
        <f>72.7+2.77+1.59</f>
        <v>77.06</v>
      </c>
      <c r="F181" s="23">
        <f>6.66+0.8</f>
        <v>7.46</v>
      </c>
      <c r="G181" s="23">
        <f>24.55+1.07</f>
        <v>25.62</v>
      </c>
      <c r="H181" s="23">
        <f>36.31</f>
        <v>36.31</v>
      </c>
      <c r="I181" s="23">
        <f>0.8+1.59+4.78</f>
        <v>7.17</v>
      </c>
      <c r="J181" s="23">
        <v>3</v>
      </c>
      <c r="K181" s="23">
        <v>0.03</v>
      </c>
      <c r="L181" s="23">
        <v>4</v>
      </c>
      <c r="M181" s="23" t="s">
        <v>21</v>
      </c>
      <c r="R181" s="23">
        <v>2</v>
      </c>
      <c r="S181" s="23" t="s">
        <v>21</v>
      </c>
      <c r="T181" s="23">
        <v>2</v>
      </c>
      <c r="U181" s="23" t="s">
        <v>21</v>
      </c>
      <c r="Z181" s="23">
        <v>27</v>
      </c>
      <c r="AA181" s="23">
        <v>0.31</v>
      </c>
      <c r="AZ181" s="23">
        <v>1</v>
      </c>
      <c r="BU181" s="23">
        <v>2</v>
      </c>
      <c r="CA181" s="23">
        <v>1</v>
      </c>
      <c r="CD181" s="23">
        <v>66</v>
      </c>
    </row>
    <row r="182" spans="1:82" x14ac:dyDescent="0.2">
      <c r="A182" s="23" t="s">
        <v>514</v>
      </c>
      <c r="B182" s="25" t="s">
        <v>511</v>
      </c>
      <c r="C182" s="23" t="s">
        <v>89</v>
      </c>
      <c r="D182" s="23" t="s">
        <v>297</v>
      </c>
      <c r="E182" s="23">
        <f>50.1+2.57+1.02+1.3</f>
        <v>54.99</v>
      </c>
      <c r="F182" s="23">
        <f>3.15+0.73</f>
        <v>3.88</v>
      </c>
      <c r="G182" s="23">
        <f>0.87+10.12</f>
        <v>10.989999999999998</v>
      </c>
      <c r="H182" s="23">
        <f>1.3+31.37</f>
        <v>32.67</v>
      </c>
      <c r="I182" s="23">
        <f>0.93+1.02+4.82</f>
        <v>6.7700000000000005</v>
      </c>
      <c r="J182" s="23">
        <v>1</v>
      </c>
      <c r="K182" s="23" t="s">
        <v>21</v>
      </c>
      <c r="L182" s="23">
        <v>1</v>
      </c>
      <c r="M182" s="23">
        <v>0.01</v>
      </c>
      <c r="R182" s="23">
        <v>3</v>
      </c>
      <c r="S182" s="23">
        <v>0.01</v>
      </c>
      <c r="T182" s="23">
        <v>4</v>
      </c>
      <c r="U182" s="23" t="s">
        <v>21</v>
      </c>
      <c r="Z182" s="23">
        <v>37</v>
      </c>
      <c r="AA182" s="23">
        <v>0.52</v>
      </c>
      <c r="AF182" s="23">
        <v>1</v>
      </c>
      <c r="AG182" s="23" t="s">
        <v>21</v>
      </c>
      <c r="AY182" s="23">
        <v>2</v>
      </c>
      <c r="CA182" s="23">
        <v>2</v>
      </c>
      <c r="CD182" s="23">
        <v>38</v>
      </c>
    </row>
    <row r="183" spans="1:82" x14ac:dyDescent="0.2">
      <c r="A183" s="23" t="s">
        <v>515</v>
      </c>
      <c r="B183" s="25" t="s">
        <v>511</v>
      </c>
      <c r="C183" s="23" t="s">
        <v>72</v>
      </c>
      <c r="D183" s="23" t="s">
        <v>297</v>
      </c>
      <c r="E183" s="23">
        <f>59.36+1.37+6.77</f>
        <v>67.5</v>
      </c>
      <c r="F183" s="23">
        <f>2.88+0.55</f>
        <v>3.4299999999999997</v>
      </c>
      <c r="G183" s="23">
        <f>14.42+0.54</f>
        <v>14.96</v>
      </c>
      <c r="H183" s="23">
        <f>37.53</f>
        <v>37.53</v>
      </c>
      <c r="I183" s="23">
        <f>4.31+0.21+6.77</f>
        <v>11.29</v>
      </c>
      <c r="J183" s="23">
        <v>3</v>
      </c>
      <c r="K183" s="23">
        <v>0.01</v>
      </c>
      <c r="L183" s="23">
        <v>7</v>
      </c>
      <c r="M183" s="23">
        <v>0.01</v>
      </c>
      <c r="T183" s="23">
        <v>2</v>
      </c>
      <c r="U183" s="23" t="s">
        <v>21</v>
      </c>
      <c r="Z183" s="23">
        <v>25</v>
      </c>
      <c r="AA183" s="23">
        <v>0.18</v>
      </c>
      <c r="AP183" s="23">
        <v>1</v>
      </c>
      <c r="CA183" s="23">
        <v>1</v>
      </c>
      <c r="CD183" s="23">
        <v>62</v>
      </c>
    </row>
    <row r="184" spans="1:82" x14ac:dyDescent="0.2">
      <c r="A184" s="23" t="s">
        <v>516</v>
      </c>
      <c r="B184" s="25" t="s">
        <v>511</v>
      </c>
      <c r="C184" s="23" t="s">
        <v>92</v>
      </c>
      <c r="D184" s="23" t="s">
        <v>297</v>
      </c>
      <c r="E184" s="23">
        <f>17.53+2.05</f>
        <v>19.580000000000002</v>
      </c>
      <c r="F184" s="23">
        <f>1.74+0.93</f>
        <v>2.67</v>
      </c>
      <c r="G184" s="23">
        <f>5.26+0.78</f>
        <v>6.04</v>
      </c>
      <c r="H184" s="23">
        <f>7.5</f>
        <v>7.5</v>
      </c>
      <c r="I184" s="23">
        <f>0.29+2.45</f>
        <v>2.74</v>
      </c>
      <c r="L184" s="23">
        <v>3</v>
      </c>
      <c r="M184" s="23" t="s">
        <v>21</v>
      </c>
      <c r="T184" s="23">
        <v>2</v>
      </c>
      <c r="U184" s="23" t="s">
        <v>21</v>
      </c>
      <c r="Z184" s="23">
        <v>32</v>
      </c>
      <c r="AA184" s="23">
        <v>0.55000000000000004</v>
      </c>
      <c r="AY184" s="23">
        <v>1</v>
      </c>
      <c r="CD184" s="23">
        <v>12</v>
      </c>
    </row>
    <row r="185" spans="1:82" x14ac:dyDescent="0.2">
      <c r="A185" s="23" t="s">
        <v>517</v>
      </c>
      <c r="B185" s="23" t="s">
        <v>511</v>
      </c>
      <c r="C185" s="23" t="s">
        <v>95</v>
      </c>
      <c r="D185" s="23" t="s">
        <v>297</v>
      </c>
      <c r="E185" s="23">
        <f>0.85+10.92</f>
        <v>11.77</v>
      </c>
      <c r="F185" s="23">
        <f>0.47+0.93</f>
        <v>1.4</v>
      </c>
      <c r="G185" s="23">
        <f>3.82+0.24</f>
        <v>4.0599999999999996</v>
      </c>
      <c r="H185" s="23">
        <f>4.43</f>
        <v>4.43</v>
      </c>
      <c r="I185" s="23">
        <f>1.48+0.13</f>
        <v>1.6099999999999999</v>
      </c>
      <c r="J185" s="23">
        <v>3</v>
      </c>
      <c r="K185" s="23">
        <v>0.05</v>
      </c>
      <c r="L185" s="23">
        <v>1</v>
      </c>
      <c r="M185" s="23" t="s">
        <v>21</v>
      </c>
      <c r="Z185" s="23">
        <v>15</v>
      </c>
      <c r="AA185" s="23">
        <v>0.18</v>
      </c>
      <c r="AY185" s="23">
        <v>1</v>
      </c>
      <c r="BU185" s="23">
        <v>1</v>
      </c>
      <c r="CA185" s="23">
        <v>1</v>
      </c>
      <c r="CD185" s="23">
        <v>3</v>
      </c>
    </row>
    <row r="186" spans="1:82" x14ac:dyDescent="0.2">
      <c r="A186" s="23" t="s">
        <v>518</v>
      </c>
      <c r="B186" s="25" t="s">
        <v>511</v>
      </c>
      <c r="C186" s="23" t="s">
        <v>97</v>
      </c>
      <c r="D186" s="23" t="s">
        <v>297</v>
      </c>
      <c r="E186" s="23">
        <f>0.65+6.87</f>
        <v>7.5200000000000005</v>
      </c>
      <c r="F186" s="23">
        <f>0.93</f>
        <v>0.93</v>
      </c>
      <c r="G186" s="23">
        <f>2.19+0.15</f>
        <v>2.34</v>
      </c>
      <c r="H186" s="23">
        <f>3.71</f>
        <v>3.71</v>
      </c>
      <c r="I186" s="23">
        <f>0.45</f>
        <v>0.45</v>
      </c>
      <c r="L186" s="23">
        <v>1</v>
      </c>
      <c r="M186" s="23" t="s">
        <v>21</v>
      </c>
      <c r="Z186" s="23">
        <v>10</v>
      </c>
      <c r="AA186" s="23">
        <v>0.05</v>
      </c>
      <c r="AF186" s="23">
        <v>2</v>
      </c>
      <c r="AG186" s="23" t="s">
        <v>21</v>
      </c>
      <c r="CA186" s="23">
        <v>1</v>
      </c>
    </row>
    <row r="187" spans="1:82" x14ac:dyDescent="0.2">
      <c r="A187" s="23" t="s">
        <v>519</v>
      </c>
      <c r="B187" s="25" t="s">
        <v>520</v>
      </c>
      <c r="C187" s="23" t="s">
        <v>106</v>
      </c>
      <c r="D187" s="23" t="s">
        <v>297</v>
      </c>
      <c r="E187" s="23">
        <f>10.75+0.29</f>
        <v>11.04</v>
      </c>
      <c r="F187" s="23">
        <f>1.1</f>
        <v>1.1000000000000001</v>
      </c>
      <c r="G187" s="23">
        <f>4.21</f>
        <v>4.21</v>
      </c>
      <c r="H187" s="23">
        <f>4.68</f>
        <v>4.68</v>
      </c>
      <c r="I187" s="23">
        <f>0.77</f>
        <v>0.77</v>
      </c>
      <c r="R187" s="23">
        <v>1</v>
      </c>
      <c r="S187" s="23" t="s">
        <v>21</v>
      </c>
      <c r="Z187" s="23">
        <v>26</v>
      </c>
      <c r="AA187" s="23">
        <v>0.25</v>
      </c>
      <c r="AZ187" s="23">
        <v>1</v>
      </c>
      <c r="BA187" s="23">
        <v>2</v>
      </c>
      <c r="BY187" s="23">
        <v>1</v>
      </c>
      <c r="CD187" s="23">
        <v>63</v>
      </c>
    </row>
    <row r="188" spans="1:82" x14ac:dyDescent="0.2">
      <c r="A188" s="23">
        <v>133204</v>
      </c>
      <c r="B188" s="25" t="s">
        <v>521</v>
      </c>
      <c r="C188" s="23" t="s">
        <v>106</v>
      </c>
      <c r="D188" s="23" t="s">
        <v>297</v>
      </c>
      <c r="E188" s="23">
        <v>1.1100000000000001</v>
      </c>
      <c r="F188" s="23">
        <v>0.5</v>
      </c>
      <c r="G188" s="23">
        <v>0.24</v>
      </c>
      <c r="I188" s="23">
        <v>0.36</v>
      </c>
      <c r="Z188" s="23">
        <v>2</v>
      </c>
      <c r="AA188" s="23" t="s">
        <v>21</v>
      </c>
      <c r="AY188" s="23">
        <v>2</v>
      </c>
      <c r="CD188" s="23">
        <v>29</v>
      </c>
    </row>
    <row r="189" spans="1:82" x14ac:dyDescent="0.2">
      <c r="A189" s="23" t="s">
        <v>476</v>
      </c>
      <c r="B189" s="25" t="s">
        <v>477</v>
      </c>
      <c r="C189" s="23" t="s">
        <v>16</v>
      </c>
      <c r="D189" s="23" t="s">
        <v>297</v>
      </c>
      <c r="E189" s="23">
        <f>11.62+1.48</f>
        <v>13.1</v>
      </c>
      <c r="F189" s="23">
        <f>2.46</f>
        <v>2.46</v>
      </c>
      <c r="G189" s="23">
        <f>7.64+0.91</f>
        <v>8.5499999999999989</v>
      </c>
      <c r="H189" s="23">
        <f>0.62</f>
        <v>0.62</v>
      </c>
      <c r="I189" s="23">
        <f>1.16+0.21</f>
        <v>1.3699999999999999</v>
      </c>
      <c r="J189" s="23">
        <v>2</v>
      </c>
      <c r="K189" s="23" t="s">
        <v>21</v>
      </c>
      <c r="R189" s="23">
        <v>1</v>
      </c>
      <c r="S189" s="23" t="s">
        <v>21</v>
      </c>
      <c r="T189" s="23">
        <v>1</v>
      </c>
      <c r="U189" s="23" t="s">
        <v>21</v>
      </c>
      <c r="Z189" s="23">
        <v>12</v>
      </c>
      <c r="AA189" s="23">
        <v>7.0000000000000007E-2</v>
      </c>
      <c r="AP189" s="23">
        <v>1</v>
      </c>
      <c r="AY189" s="23">
        <v>1</v>
      </c>
      <c r="AZ189" s="23">
        <v>1</v>
      </c>
      <c r="CD189" s="23">
        <v>45</v>
      </c>
    </row>
    <row r="190" spans="1:82" x14ac:dyDescent="0.2">
      <c r="A190" s="23" t="s">
        <v>478</v>
      </c>
      <c r="B190" s="25" t="s">
        <v>477</v>
      </c>
      <c r="C190" s="23" t="s">
        <v>59</v>
      </c>
      <c r="D190" s="23" t="s">
        <v>297</v>
      </c>
      <c r="E190" s="23">
        <f>2.45+6.36</f>
        <v>8.81</v>
      </c>
      <c r="F190" s="23">
        <f>0.86+0.33</f>
        <v>1.19</v>
      </c>
      <c r="G190" s="23">
        <f>3.67+1.16</f>
        <v>4.83</v>
      </c>
      <c r="H190" s="23">
        <f>0.97</f>
        <v>0.97</v>
      </c>
      <c r="I190" s="23">
        <f>0.66+0.94</f>
        <v>1.6</v>
      </c>
      <c r="T190" s="23">
        <v>3</v>
      </c>
      <c r="U190" s="23" t="s">
        <v>21</v>
      </c>
      <c r="Z190" s="23">
        <v>26</v>
      </c>
      <c r="AA190" s="23">
        <v>0.18</v>
      </c>
      <c r="AY190" s="23">
        <v>1</v>
      </c>
      <c r="CA190" s="23">
        <v>3</v>
      </c>
      <c r="CD190" s="23">
        <v>13</v>
      </c>
    </row>
    <row r="191" spans="1:82" x14ac:dyDescent="0.2">
      <c r="A191" s="23" t="s">
        <v>479</v>
      </c>
      <c r="B191" s="25" t="s">
        <v>477</v>
      </c>
      <c r="C191" s="23" t="s">
        <v>63</v>
      </c>
      <c r="D191" s="23" t="s">
        <v>297</v>
      </c>
      <c r="E191" s="23">
        <f>7.15+0.43</f>
        <v>7.58</v>
      </c>
      <c r="F191" s="23">
        <f>0.56</f>
        <v>0.56000000000000005</v>
      </c>
      <c r="G191" s="23">
        <f>4.92+0.26</f>
        <v>5.18</v>
      </c>
      <c r="H191" s="23">
        <f>1.11</f>
        <v>1.1100000000000001</v>
      </c>
      <c r="I191" s="23">
        <v>0.6</v>
      </c>
      <c r="J191" s="23">
        <v>3</v>
      </c>
      <c r="K191" s="23">
        <v>0.01</v>
      </c>
      <c r="Z191" s="23">
        <v>8</v>
      </c>
      <c r="AA191" s="23">
        <v>0.1</v>
      </c>
      <c r="BU191" s="23">
        <v>1</v>
      </c>
    </row>
    <row r="192" spans="1:82" x14ac:dyDescent="0.2">
      <c r="A192" s="23" t="s">
        <v>482</v>
      </c>
      <c r="B192" s="25" t="s">
        <v>480</v>
      </c>
      <c r="C192" s="23" t="s">
        <v>59</v>
      </c>
      <c r="D192" s="23" t="s">
        <v>297</v>
      </c>
      <c r="E192" s="23">
        <f>9.27</f>
        <v>9.27</v>
      </c>
      <c r="F192" s="23">
        <f>4.78</f>
        <v>4.78</v>
      </c>
      <c r="G192" s="23">
        <f>2.3</f>
        <v>2.2999999999999998</v>
      </c>
      <c r="H192" s="23">
        <v>2.04</v>
      </c>
      <c r="I192" s="23">
        <f>0.15</f>
        <v>0.15</v>
      </c>
      <c r="CD192" s="23">
        <v>95</v>
      </c>
    </row>
    <row r="193" spans="1:82" x14ac:dyDescent="0.2">
      <c r="A193" s="23" t="s">
        <v>481</v>
      </c>
      <c r="B193" s="25" t="s">
        <v>480</v>
      </c>
      <c r="C193" s="23" t="s">
        <v>63</v>
      </c>
      <c r="D193" s="23" t="s">
        <v>297</v>
      </c>
      <c r="E193" s="23">
        <f>10.4</f>
        <v>10.4</v>
      </c>
      <c r="F193" s="23">
        <f>6.39</f>
        <v>6.39</v>
      </c>
      <c r="G193" s="23">
        <f>2.71</f>
        <v>2.71</v>
      </c>
      <c r="H193" s="23">
        <f>1.17</f>
        <v>1.17</v>
      </c>
      <c r="I193" s="23">
        <f>0.13</f>
        <v>0.13</v>
      </c>
      <c r="CD193" s="23">
        <v>65</v>
      </c>
    </row>
    <row r="194" spans="1:82" x14ac:dyDescent="0.2">
      <c r="A194" s="23" t="s">
        <v>483</v>
      </c>
      <c r="B194" s="25" t="s">
        <v>480</v>
      </c>
      <c r="C194" s="23" t="s">
        <v>32</v>
      </c>
      <c r="D194" s="23" t="s">
        <v>297</v>
      </c>
      <c r="E194" s="23">
        <v>2.9</v>
      </c>
      <c r="F194" s="23">
        <f>2.01</f>
        <v>2.0099999999999998</v>
      </c>
      <c r="G194" s="23">
        <f>0.55</f>
        <v>0.55000000000000004</v>
      </c>
      <c r="H194" s="23">
        <v>0.33</v>
      </c>
      <c r="I194" s="23">
        <v>0.01</v>
      </c>
    </row>
    <row r="195" spans="1:82" x14ac:dyDescent="0.2">
      <c r="A195" s="23" t="s">
        <v>484</v>
      </c>
      <c r="B195" s="25" t="s">
        <v>480</v>
      </c>
      <c r="C195" s="23" t="s">
        <v>102</v>
      </c>
      <c r="D195" s="23" t="s">
        <v>297</v>
      </c>
      <c r="E195" s="23">
        <f>7.84+0.26</f>
        <v>8.1</v>
      </c>
      <c r="F195" s="23">
        <f>1.76</f>
        <v>1.76</v>
      </c>
      <c r="G195" s="23">
        <f>2.25</f>
        <v>2.25</v>
      </c>
      <c r="H195" s="23">
        <f>4.03</f>
        <v>4.03</v>
      </c>
      <c r="I195" s="23">
        <f>0.06</f>
        <v>0.06</v>
      </c>
    </row>
    <row r="196" spans="1:82" x14ac:dyDescent="0.2">
      <c r="A196" s="23" t="s">
        <v>485</v>
      </c>
      <c r="B196" s="25" t="s">
        <v>486</v>
      </c>
      <c r="C196" s="23" t="s">
        <v>16</v>
      </c>
      <c r="D196" s="23" t="s">
        <v>297</v>
      </c>
      <c r="E196" s="23">
        <f>24.33+3.5+2.65+3.29</f>
        <v>33.769999999999996</v>
      </c>
      <c r="F196" s="23">
        <f>2.9+0.77</f>
        <v>3.67</v>
      </c>
      <c r="G196" s="23">
        <f>12.69+1.84</f>
        <v>14.53</v>
      </c>
      <c r="H196" s="23">
        <f>6.94+3.29</f>
        <v>10.23</v>
      </c>
      <c r="I196" s="23">
        <f>0.77+2.65+1.59</f>
        <v>5.01</v>
      </c>
      <c r="J196" s="23">
        <v>6</v>
      </c>
      <c r="K196" s="23">
        <v>0.1</v>
      </c>
      <c r="L196" s="23">
        <v>6</v>
      </c>
      <c r="M196" s="23">
        <v>0.01</v>
      </c>
      <c r="R196" s="23">
        <v>1</v>
      </c>
      <c r="S196" s="23" t="s">
        <v>21</v>
      </c>
      <c r="T196" s="23">
        <v>1</v>
      </c>
      <c r="U196" s="23" t="s">
        <v>21</v>
      </c>
      <c r="Z196" s="23">
        <v>13</v>
      </c>
      <c r="AA196" s="23">
        <v>0.14000000000000001</v>
      </c>
      <c r="BV196" s="23">
        <v>1</v>
      </c>
      <c r="CA196" s="23">
        <v>3</v>
      </c>
      <c r="CD196" s="23">
        <v>74</v>
      </c>
    </row>
    <row r="197" spans="1:82" x14ac:dyDescent="0.2">
      <c r="A197" s="23" t="s">
        <v>487</v>
      </c>
      <c r="B197" s="25" t="s">
        <v>486</v>
      </c>
      <c r="C197" s="23" t="s">
        <v>59</v>
      </c>
      <c r="D197" s="23" t="s">
        <v>297</v>
      </c>
      <c r="E197" s="23">
        <f>30.27+4.11</f>
        <v>34.380000000000003</v>
      </c>
      <c r="F197" s="23">
        <f>3.43+0.48</f>
        <v>3.91</v>
      </c>
      <c r="G197" s="23">
        <f>14.62+2.26</f>
        <v>16.88</v>
      </c>
      <c r="H197" s="23">
        <f>10.65</f>
        <v>10.65</v>
      </c>
      <c r="I197" s="23">
        <f>1.17+0.15+1.39</f>
        <v>2.71</v>
      </c>
      <c r="J197" s="23">
        <f>52</f>
        <v>52</v>
      </c>
      <c r="K197" s="23">
        <f>0.18+0.11+0.17</f>
        <v>0.45999999999999996</v>
      </c>
      <c r="L197" s="23">
        <v>16</v>
      </c>
      <c r="M197" s="23">
        <v>0.02</v>
      </c>
      <c r="Z197" s="23">
        <v>6</v>
      </c>
      <c r="AA197" s="23">
        <v>0.09</v>
      </c>
      <c r="AP197" s="23">
        <v>1</v>
      </c>
      <c r="AY197" s="23">
        <v>1</v>
      </c>
      <c r="BA197" s="23">
        <v>2</v>
      </c>
      <c r="CA197" s="23">
        <v>2</v>
      </c>
      <c r="CD197" s="23">
        <v>213</v>
      </c>
    </row>
    <row r="198" spans="1:82" x14ac:dyDescent="0.2">
      <c r="A198" s="23" t="s">
        <v>488</v>
      </c>
      <c r="B198" s="25" t="s">
        <v>486</v>
      </c>
      <c r="C198" s="23" t="s">
        <v>32</v>
      </c>
      <c r="D198" s="23" t="s">
        <v>297</v>
      </c>
      <c r="E198" s="23">
        <f>3.48+0.38</f>
        <v>3.86</v>
      </c>
      <c r="F198" s="23">
        <f>0.16</f>
        <v>0.16</v>
      </c>
      <c r="G198" s="23">
        <f>1.29+0.24</f>
        <v>1.53</v>
      </c>
      <c r="H198" s="23">
        <f>1.98</f>
        <v>1.98</v>
      </c>
      <c r="I198" s="23">
        <f>0.18</f>
        <v>0.18</v>
      </c>
      <c r="CD198" s="23">
        <v>44</v>
      </c>
    </row>
    <row r="199" spans="1:82" x14ac:dyDescent="0.2">
      <c r="A199" s="23" t="s">
        <v>504</v>
      </c>
      <c r="B199" s="23" t="s">
        <v>505</v>
      </c>
      <c r="C199" s="23" t="s">
        <v>16</v>
      </c>
      <c r="D199" s="23" t="s">
        <v>297</v>
      </c>
      <c r="E199" s="23">
        <v>12.2</v>
      </c>
      <c r="F199" s="23">
        <v>0.62</v>
      </c>
      <c r="G199" s="23">
        <v>10.91</v>
      </c>
      <c r="H199" s="23">
        <v>0.11</v>
      </c>
      <c r="I199" s="23">
        <v>0.55000000000000004</v>
      </c>
    </row>
    <row r="200" spans="1:82" x14ac:dyDescent="0.2">
      <c r="A200" s="23" t="s">
        <v>522</v>
      </c>
      <c r="B200" s="25" t="s">
        <v>523</v>
      </c>
      <c r="C200" s="23" t="s">
        <v>16</v>
      </c>
      <c r="D200" s="23" t="s">
        <v>297</v>
      </c>
      <c r="E200" s="23">
        <f>5.19+1.22</f>
        <v>6.41</v>
      </c>
      <c r="F200" s="23">
        <f>1.53</f>
        <v>1.53</v>
      </c>
      <c r="G200" s="23">
        <f>2.12+0.48</f>
        <v>2.6</v>
      </c>
      <c r="H200" s="23">
        <f>1.54</f>
        <v>1.54</v>
      </c>
      <c r="I200" s="23">
        <f>0.7</f>
        <v>0.7</v>
      </c>
      <c r="Z200" s="23">
        <v>4</v>
      </c>
      <c r="AA200" s="23">
        <v>0.01</v>
      </c>
      <c r="CD200" s="23">
        <v>74</v>
      </c>
    </row>
    <row r="201" spans="1:82" x14ac:dyDescent="0.2">
      <c r="A201" s="23" t="s">
        <v>531</v>
      </c>
      <c r="B201" s="25" t="s">
        <v>532</v>
      </c>
      <c r="C201" s="23" t="s">
        <v>533</v>
      </c>
      <c r="D201" s="23" t="s">
        <v>297</v>
      </c>
      <c r="E201" s="23">
        <f>97.71+2.12</f>
        <v>99.83</v>
      </c>
      <c r="F201" s="23">
        <f>0.77+1.52</f>
        <v>2.29</v>
      </c>
      <c r="G201" s="23">
        <f>6.5+0.59</f>
        <v>7.09</v>
      </c>
      <c r="H201" s="23">
        <f>90.27</f>
        <v>90.27</v>
      </c>
      <c r="I201" s="23">
        <v>0.17</v>
      </c>
      <c r="Z201" s="23">
        <v>3</v>
      </c>
      <c r="AA201" s="23">
        <v>0.01</v>
      </c>
      <c r="CD201" s="23">
        <v>49</v>
      </c>
    </row>
    <row r="202" spans="1:82" x14ac:dyDescent="0.2">
      <c r="A202" s="23" t="s">
        <v>552</v>
      </c>
      <c r="B202" s="25" t="s">
        <v>553</v>
      </c>
      <c r="C202" s="23" t="s">
        <v>554</v>
      </c>
      <c r="D202" s="23" t="s">
        <v>297</v>
      </c>
      <c r="E202" s="23">
        <f>30.93+0.59</f>
        <v>31.52</v>
      </c>
      <c r="F202" s="23">
        <v>0.02</v>
      </c>
      <c r="H202" s="23">
        <f>30.93+1634.4</f>
        <v>1665.3300000000002</v>
      </c>
      <c r="I202" s="23">
        <v>0.47</v>
      </c>
      <c r="Z202" s="23">
        <v>2</v>
      </c>
      <c r="AA202" s="23">
        <v>0.1</v>
      </c>
    </row>
    <row r="203" spans="1:82" x14ac:dyDescent="0.2">
      <c r="A203" s="23" t="s">
        <v>555</v>
      </c>
      <c r="B203" s="25" t="s">
        <v>553</v>
      </c>
      <c r="C203" s="23" t="s">
        <v>556</v>
      </c>
      <c r="D203" s="23" t="s">
        <v>297</v>
      </c>
      <c r="E203" s="23">
        <f>1.55+0.02+4.73</f>
        <v>6.3000000000000007</v>
      </c>
      <c r="H203" s="23">
        <f>4.73+0.81+3851</f>
        <v>3856.54</v>
      </c>
      <c r="I203" s="23">
        <v>0.73</v>
      </c>
      <c r="R203" s="23">
        <v>1</v>
      </c>
      <c r="S203" s="23" t="s">
        <v>21</v>
      </c>
      <c r="X203" s="23">
        <v>1</v>
      </c>
      <c r="Y203" s="23">
        <v>0.01</v>
      </c>
      <c r="CA203" s="23">
        <v>2</v>
      </c>
    </row>
    <row r="204" spans="1:82" x14ac:dyDescent="0.2">
      <c r="A204" s="23" t="s">
        <v>557</v>
      </c>
      <c r="B204" s="23" t="s">
        <v>553</v>
      </c>
      <c r="C204" s="23" t="s">
        <v>558</v>
      </c>
      <c r="D204" s="23" t="s">
        <v>297</v>
      </c>
      <c r="E204" s="23">
        <v>0.53</v>
      </c>
      <c r="H204" s="23">
        <f>0.21+986.6</f>
        <v>986.81000000000006</v>
      </c>
      <c r="I204" s="23">
        <v>0.3</v>
      </c>
      <c r="BP204" s="23">
        <v>1</v>
      </c>
      <c r="CD204" s="23">
        <v>6</v>
      </c>
    </row>
    <row r="205" spans="1:82" x14ac:dyDescent="0.2">
      <c r="A205" s="23" t="s">
        <v>213</v>
      </c>
      <c r="B205" s="23" t="s">
        <v>214</v>
      </c>
      <c r="C205" s="23" t="s">
        <v>215</v>
      </c>
      <c r="D205" s="23" t="s">
        <v>575</v>
      </c>
      <c r="E205" s="23">
        <f>0.3+0.3+1.93+0.32</f>
        <v>2.8499999999999996</v>
      </c>
      <c r="F205" s="23">
        <f>0.17+0.06+0.02+0.13</f>
        <v>0.38</v>
      </c>
      <c r="G205" s="23">
        <f>0.04+1.13+0.21</f>
        <v>1.38</v>
      </c>
      <c r="H205" s="23">
        <f>0.3</f>
        <v>0.3</v>
      </c>
      <c r="I205" s="23">
        <f>0.01+0.3+0.32+0.04</f>
        <v>0.67</v>
      </c>
      <c r="L205" s="23">
        <v>1</v>
      </c>
      <c r="AQ205" s="23">
        <v>3</v>
      </c>
      <c r="BY205" s="23">
        <v>1</v>
      </c>
      <c r="CD205" s="23">
        <v>33</v>
      </c>
    </row>
    <row r="206" spans="1:82" x14ac:dyDescent="0.2">
      <c r="A206" s="23" t="s">
        <v>282</v>
      </c>
      <c r="B206" s="23" t="s">
        <v>252</v>
      </c>
      <c r="C206" s="23" t="s">
        <v>283</v>
      </c>
      <c r="D206" s="23" t="s">
        <v>298</v>
      </c>
      <c r="E206" s="23">
        <v>0.39</v>
      </c>
      <c r="F206" s="23">
        <v>0.05</v>
      </c>
      <c r="G206" s="23">
        <v>0.26</v>
      </c>
      <c r="H206" s="23">
        <v>0.01</v>
      </c>
      <c r="I206" s="23">
        <v>7.0000000000000007E-2</v>
      </c>
      <c r="L206" s="23">
        <v>1</v>
      </c>
      <c r="M206" s="23" t="s">
        <v>21</v>
      </c>
      <c r="Z206" s="23">
        <v>2</v>
      </c>
      <c r="AA206" s="23" t="s">
        <v>21</v>
      </c>
      <c r="AY206" s="23">
        <v>1</v>
      </c>
    </row>
    <row r="207" spans="1:82" x14ac:dyDescent="0.2">
      <c r="A207" s="23">
        <v>133293</v>
      </c>
      <c r="B207" s="23" t="s">
        <v>252</v>
      </c>
      <c r="C207" s="23" t="s">
        <v>203</v>
      </c>
      <c r="D207" s="23" t="s">
        <v>298</v>
      </c>
      <c r="I207" s="23">
        <v>0.17</v>
      </c>
    </row>
    <row r="208" spans="1:82" x14ac:dyDescent="0.2">
      <c r="A208" s="23" t="s">
        <v>284</v>
      </c>
      <c r="B208" s="23" t="s">
        <v>285</v>
      </c>
      <c r="C208" s="23" t="s">
        <v>286</v>
      </c>
      <c r="D208" s="23" t="s">
        <v>298</v>
      </c>
      <c r="E208" s="23">
        <f>0.19+0.46</f>
        <v>0.65</v>
      </c>
      <c r="F208" s="23">
        <v>0.1</v>
      </c>
      <c r="G208" s="23">
        <v>0.36</v>
      </c>
      <c r="H208" s="23">
        <v>0.08</v>
      </c>
      <c r="I208" s="23">
        <v>0.09</v>
      </c>
      <c r="AF208" s="23">
        <v>2</v>
      </c>
      <c r="AG208" s="23">
        <v>0.01</v>
      </c>
      <c r="BR208" s="23">
        <v>2</v>
      </c>
      <c r="CD208" s="23">
        <v>41</v>
      </c>
    </row>
    <row r="209" spans="1:82" x14ac:dyDescent="0.2">
      <c r="A209" s="23" t="s">
        <v>281</v>
      </c>
      <c r="B209" s="23" t="s">
        <v>259</v>
      </c>
      <c r="C209" s="23" t="s">
        <v>279</v>
      </c>
      <c r="D209" s="23" t="s">
        <v>298</v>
      </c>
      <c r="E209" s="23">
        <v>1.94</v>
      </c>
      <c r="F209" s="23">
        <v>0.15</v>
      </c>
      <c r="G209" s="23">
        <v>1.04</v>
      </c>
      <c r="H209" s="23">
        <v>0.44</v>
      </c>
      <c r="I209" s="23">
        <v>0.18</v>
      </c>
      <c r="J209" s="23">
        <v>2</v>
      </c>
      <c r="K209" s="23">
        <v>0.05</v>
      </c>
      <c r="Z209" s="23">
        <v>1</v>
      </c>
      <c r="AA209" s="23">
        <v>0.08</v>
      </c>
      <c r="CD209" s="23">
        <v>2</v>
      </c>
    </row>
    <row r="210" spans="1:82" x14ac:dyDescent="0.2">
      <c r="A210" s="23" t="s">
        <v>210</v>
      </c>
      <c r="B210" s="23" t="s">
        <v>198</v>
      </c>
      <c r="C210" s="23" t="s">
        <v>170</v>
      </c>
      <c r="D210" s="23" t="s">
        <v>298</v>
      </c>
      <c r="E210" s="23">
        <f>0.38+2.59+2.97</f>
        <v>5.9399999999999995</v>
      </c>
      <c r="F210" s="23">
        <v>0.02</v>
      </c>
      <c r="G210" s="23">
        <v>0.52</v>
      </c>
      <c r="H210" s="23">
        <f>2.24+1.13</f>
        <v>3.37</v>
      </c>
      <c r="I210" s="23">
        <f>0.1+0.09+1.84</f>
        <v>2.0300000000000002</v>
      </c>
      <c r="S210" s="23">
        <v>1</v>
      </c>
      <c r="BZ210" s="23">
        <v>1</v>
      </c>
      <c r="CB210" s="23">
        <v>1</v>
      </c>
      <c r="CD210" s="23">
        <v>64</v>
      </c>
    </row>
    <row r="211" spans="1:82" x14ac:dyDescent="0.2">
      <c r="A211" s="23" t="s">
        <v>288</v>
      </c>
      <c r="B211" s="23" t="s">
        <v>289</v>
      </c>
      <c r="C211" s="23" t="s">
        <v>131</v>
      </c>
      <c r="D211" s="23" t="s">
        <v>298</v>
      </c>
      <c r="E211" s="23">
        <f>0.18+0.11+1.51+2.59</f>
        <v>4.3899999999999997</v>
      </c>
      <c r="F211" s="23">
        <f>0.24</f>
        <v>0.24</v>
      </c>
      <c r="G211" s="23">
        <f>0.91</f>
        <v>0.91</v>
      </c>
      <c r="H211" s="23">
        <f>0.15</f>
        <v>0.15</v>
      </c>
      <c r="I211" s="23">
        <f>2.89</f>
        <v>2.89</v>
      </c>
      <c r="J211" s="23">
        <v>7</v>
      </c>
      <c r="K211" s="23">
        <v>0.11</v>
      </c>
      <c r="Z211" s="23">
        <v>4</v>
      </c>
      <c r="AA211" s="23" t="s">
        <v>21</v>
      </c>
      <c r="AF211" s="23">
        <v>1</v>
      </c>
      <c r="AG211" s="23" t="s">
        <v>21</v>
      </c>
      <c r="AP211" s="23">
        <v>1</v>
      </c>
      <c r="AS211" s="23">
        <v>1</v>
      </c>
      <c r="CA211" s="23">
        <v>1</v>
      </c>
      <c r="CD211" s="23">
        <v>22</v>
      </c>
    </row>
    <row r="212" spans="1:82" x14ac:dyDescent="0.2">
      <c r="A212" s="23" t="s">
        <v>572</v>
      </c>
      <c r="B212" s="23" t="s">
        <v>573</v>
      </c>
      <c r="C212" s="23" t="s">
        <v>16</v>
      </c>
      <c r="D212" s="23" t="s">
        <v>297</v>
      </c>
      <c r="E212" s="23">
        <f>20.83+8.15</f>
        <v>28.979999999999997</v>
      </c>
      <c r="F212" s="23">
        <f>5.65+5.11</f>
        <v>10.760000000000002</v>
      </c>
      <c r="G212" s="23">
        <f>8.91+2.32</f>
        <v>11.23</v>
      </c>
      <c r="H212" s="23">
        <f>4.28</f>
        <v>4.28</v>
      </c>
      <c r="I212" s="23">
        <f>1.66+0.61</f>
        <v>2.27</v>
      </c>
      <c r="J212" s="23">
        <v>4</v>
      </c>
      <c r="K212" s="23">
        <v>0.04</v>
      </c>
      <c r="L212" s="23">
        <v>8</v>
      </c>
      <c r="M212" s="23">
        <v>0.05</v>
      </c>
      <c r="R212" s="23">
        <v>3</v>
      </c>
      <c r="S212" s="23">
        <v>0.01</v>
      </c>
      <c r="T212" s="23">
        <v>6</v>
      </c>
      <c r="U212" s="23" t="s">
        <v>21</v>
      </c>
      <c r="Z212" s="23">
        <v>8</v>
      </c>
      <c r="AA212" s="23">
        <v>0.11</v>
      </c>
      <c r="AP212" s="23">
        <v>6</v>
      </c>
      <c r="AY212" s="23">
        <v>12</v>
      </c>
      <c r="AZ212" s="23">
        <v>4</v>
      </c>
      <c r="BA212" s="23">
        <v>9</v>
      </c>
      <c r="BC212" s="23">
        <v>1</v>
      </c>
      <c r="BD212" s="23">
        <v>1</v>
      </c>
      <c r="BF212" s="23">
        <v>1</v>
      </c>
      <c r="BQ212" s="23">
        <v>3</v>
      </c>
      <c r="BS212" s="23">
        <v>5</v>
      </c>
      <c r="CA212" s="23">
        <v>15</v>
      </c>
      <c r="CD212" s="23">
        <v>54</v>
      </c>
    </row>
    <row r="213" spans="1:82" x14ac:dyDescent="0.2">
      <c r="A213" s="23" t="s">
        <v>574</v>
      </c>
      <c r="B213" s="23" t="s">
        <v>573</v>
      </c>
      <c r="C213" s="23" t="s">
        <v>59</v>
      </c>
      <c r="D213" s="23" t="s">
        <v>297</v>
      </c>
      <c r="E213" s="23">
        <f>4.75+4.35</f>
        <v>9.1</v>
      </c>
      <c r="F213" s="23">
        <v>2.04</v>
      </c>
      <c r="G213" s="23">
        <f>2.63+2.65</f>
        <v>5.2799999999999994</v>
      </c>
      <c r="H213" s="23">
        <f>0.79</f>
        <v>0.79</v>
      </c>
      <c r="I213" s="23">
        <f>0.87</f>
        <v>0.87</v>
      </c>
      <c r="J213" s="23">
        <v>2</v>
      </c>
      <c r="K213" s="23" t="s">
        <v>21</v>
      </c>
      <c r="L213" s="23">
        <v>2</v>
      </c>
      <c r="M213" s="23" t="s">
        <v>21</v>
      </c>
      <c r="R213" s="23">
        <v>4</v>
      </c>
      <c r="S213" s="23">
        <v>0.01</v>
      </c>
      <c r="T213" s="23">
        <v>3</v>
      </c>
      <c r="U213" s="23" t="s">
        <v>21</v>
      </c>
      <c r="Z213" s="23">
        <v>5</v>
      </c>
      <c r="AA213" s="23">
        <v>0.03</v>
      </c>
      <c r="AP213" s="23">
        <v>2</v>
      </c>
      <c r="AY213" s="23">
        <v>5</v>
      </c>
      <c r="AZ213" s="23">
        <v>1</v>
      </c>
      <c r="BA213" s="23">
        <v>3</v>
      </c>
      <c r="BQ213" s="23">
        <v>2</v>
      </c>
      <c r="BS213" s="23">
        <v>11</v>
      </c>
      <c r="CA213" s="23">
        <v>9</v>
      </c>
    </row>
    <row r="214" spans="1:82" x14ac:dyDescent="0.2">
      <c r="A214" s="23" t="s">
        <v>351</v>
      </c>
      <c r="B214" s="23" t="s">
        <v>352</v>
      </c>
      <c r="C214" s="23" t="s">
        <v>59</v>
      </c>
      <c r="D214" s="23" t="s">
        <v>297</v>
      </c>
      <c r="E214" s="23">
        <f>1.24+0.19+1.42</f>
        <v>2.8499999999999996</v>
      </c>
      <c r="F214" s="23">
        <f>0.18</f>
        <v>0.18</v>
      </c>
      <c r="G214" s="23">
        <f>0.83</f>
        <v>0.83</v>
      </c>
      <c r="H214" s="23">
        <f>0.01</f>
        <v>0.01</v>
      </c>
      <c r="I214" s="23">
        <f>0.3+0.09+1.42</f>
        <v>1.81</v>
      </c>
      <c r="J214" s="23">
        <v>3</v>
      </c>
      <c r="K214" s="23">
        <v>0.01</v>
      </c>
    </row>
    <row r="215" spans="1:82" x14ac:dyDescent="0.2">
      <c r="A215" s="23" t="s">
        <v>353</v>
      </c>
      <c r="B215" s="23" t="s">
        <v>352</v>
      </c>
      <c r="C215" s="23" t="s">
        <v>66</v>
      </c>
      <c r="D215" s="23" t="s">
        <v>297</v>
      </c>
      <c r="E215" s="23">
        <f>1.94+0.29</f>
        <v>2.23</v>
      </c>
      <c r="F215" s="23">
        <f>0.4</f>
        <v>0.4</v>
      </c>
      <c r="G215" s="23">
        <f>0.81</f>
        <v>0.81</v>
      </c>
      <c r="H215" s="23">
        <v>0</v>
      </c>
      <c r="I215" s="23">
        <v>1</v>
      </c>
      <c r="L215" s="23">
        <v>1</v>
      </c>
      <c r="M215" s="23" t="s">
        <v>21</v>
      </c>
      <c r="T215" s="23">
        <v>1</v>
      </c>
      <c r="U215" s="23" t="s">
        <v>21</v>
      </c>
      <c r="AD215" s="23">
        <v>1</v>
      </c>
      <c r="AE215" s="23" t="s">
        <v>21</v>
      </c>
      <c r="AY215" s="23">
        <v>1</v>
      </c>
      <c r="BA215" s="23">
        <v>1</v>
      </c>
      <c r="BS215" s="23">
        <v>1</v>
      </c>
      <c r="BZ215" s="23">
        <v>1</v>
      </c>
      <c r="CA215" s="23">
        <v>2</v>
      </c>
    </row>
    <row r="216" spans="1:82" x14ac:dyDescent="0.2">
      <c r="A216" s="23" t="s">
        <v>354</v>
      </c>
      <c r="B216" s="23" t="s">
        <v>352</v>
      </c>
      <c r="C216" s="23" t="s">
        <v>69</v>
      </c>
      <c r="D216" s="23" t="s">
        <v>297</v>
      </c>
      <c r="E216" s="23">
        <f>2.55+0.39</f>
        <v>2.94</v>
      </c>
      <c r="F216" s="23">
        <v>0.9</v>
      </c>
      <c r="G216" s="23">
        <v>1.93</v>
      </c>
      <c r="H216" s="23">
        <v>0.06</v>
      </c>
      <c r="I216" s="23">
        <v>0.04</v>
      </c>
    </row>
    <row r="217" spans="1:82" x14ac:dyDescent="0.2">
      <c r="A217" s="23" t="s">
        <v>559</v>
      </c>
      <c r="B217" s="23" t="s">
        <v>560</v>
      </c>
      <c r="C217" s="23" t="s">
        <v>29</v>
      </c>
      <c r="D217" s="23" t="s">
        <v>297</v>
      </c>
      <c r="E217" s="23">
        <v>0.94</v>
      </c>
      <c r="F217" s="23">
        <v>0.42</v>
      </c>
      <c r="G217" s="23">
        <v>0.49</v>
      </c>
      <c r="H217" s="23">
        <v>0.02</v>
      </c>
      <c r="I217" s="23">
        <v>0.01</v>
      </c>
    </row>
    <row r="218" spans="1:82" x14ac:dyDescent="0.2">
      <c r="A218" s="23" t="s">
        <v>581</v>
      </c>
      <c r="B218" s="23" t="s">
        <v>560</v>
      </c>
      <c r="C218" s="23" t="s">
        <v>59</v>
      </c>
      <c r="D218" s="23" t="s">
        <v>297</v>
      </c>
      <c r="E218" s="23">
        <v>0.93</v>
      </c>
      <c r="F218" s="23">
        <f>0.31</f>
        <v>0.31</v>
      </c>
      <c r="G218" s="23">
        <f>0.43</f>
        <v>0.43</v>
      </c>
      <c r="H218" s="23">
        <v>0.12</v>
      </c>
      <c r="I218" s="23">
        <v>0.06</v>
      </c>
      <c r="AP218" s="23">
        <v>1</v>
      </c>
      <c r="BA218" s="23">
        <v>1</v>
      </c>
    </row>
    <row r="219" spans="1:82" x14ac:dyDescent="0.2">
      <c r="A219" s="23" t="s">
        <v>216</v>
      </c>
      <c r="B219" s="23" t="s">
        <v>214</v>
      </c>
      <c r="C219" s="23" t="s">
        <v>42</v>
      </c>
      <c r="D219" s="23" t="s">
        <v>298</v>
      </c>
      <c r="E219" s="23">
        <f>0.91+0.11+0.67+4.24</f>
        <v>5.93</v>
      </c>
      <c r="F219" s="23">
        <f>0.3</f>
        <v>0.3</v>
      </c>
      <c r="G219" s="23">
        <f>2.31+0.44</f>
        <v>2.75</v>
      </c>
      <c r="H219" s="23">
        <f>0.54</f>
        <v>0.54</v>
      </c>
      <c r="I219" s="23">
        <f>0.25+0.11+0.67+1.19</f>
        <v>2.2199999999999998</v>
      </c>
      <c r="J219" s="23">
        <v>10</v>
      </c>
      <c r="K219" s="23">
        <v>0.02</v>
      </c>
      <c r="R219" s="23">
        <v>5</v>
      </c>
      <c r="S219" s="23">
        <v>0.04</v>
      </c>
      <c r="AQ219" s="23">
        <v>1</v>
      </c>
      <c r="BJ219" s="23">
        <v>1</v>
      </c>
      <c r="BU219" s="23">
        <v>1</v>
      </c>
      <c r="BV219" s="23">
        <v>2</v>
      </c>
      <c r="CD219" s="23">
        <v>95</v>
      </c>
    </row>
    <row r="220" spans="1:82" x14ac:dyDescent="0.2">
      <c r="A220" s="23" t="s">
        <v>217</v>
      </c>
      <c r="B220" s="23" t="s">
        <v>214</v>
      </c>
      <c r="C220" s="23" t="s">
        <v>44</v>
      </c>
      <c r="D220" s="23" t="s">
        <v>298</v>
      </c>
      <c r="E220" s="23">
        <f>0.42+0.68+3.14+1.52</f>
        <v>5.76</v>
      </c>
      <c r="F220" s="23">
        <f>0.38</f>
        <v>0.38</v>
      </c>
      <c r="G220" s="23">
        <v>1.57</v>
      </c>
      <c r="H220" s="23">
        <v>1.1399999999999999</v>
      </c>
      <c r="I220" s="23">
        <f>0.36+1.52+0.11+0.62</f>
        <v>2.61</v>
      </c>
      <c r="J220" s="23">
        <v>2</v>
      </c>
      <c r="K220" s="23">
        <v>0.01</v>
      </c>
      <c r="L220" s="23">
        <v>3</v>
      </c>
      <c r="M220" s="23" t="s">
        <v>649</v>
      </c>
      <c r="R220" s="23">
        <v>12</v>
      </c>
      <c r="S220" s="23">
        <v>0.03</v>
      </c>
      <c r="Z220" s="23">
        <v>3</v>
      </c>
      <c r="AA220" s="23">
        <v>0.01</v>
      </c>
      <c r="AP220" s="23">
        <v>2</v>
      </c>
      <c r="BA220" s="23">
        <v>1</v>
      </c>
      <c r="BD220" s="23">
        <v>1</v>
      </c>
      <c r="BR220" s="23">
        <v>1</v>
      </c>
      <c r="CA220" s="23">
        <v>2</v>
      </c>
      <c r="CD220" s="23">
        <v>56</v>
      </c>
    </row>
    <row r="221" spans="1:82" x14ac:dyDescent="0.2">
      <c r="A221" s="23" t="s">
        <v>226</v>
      </c>
      <c r="B221" s="23" t="s">
        <v>227</v>
      </c>
      <c r="C221" s="23" t="s">
        <v>228</v>
      </c>
      <c r="D221" s="23" t="s">
        <v>300</v>
      </c>
      <c r="E221" s="23">
        <v>2.14</v>
      </c>
      <c r="F221" s="23">
        <v>0.39</v>
      </c>
      <c r="G221" s="23">
        <v>1.17</v>
      </c>
      <c r="H221" s="23">
        <v>0.36</v>
      </c>
      <c r="I221" s="23">
        <v>0.16</v>
      </c>
      <c r="J221" s="23">
        <v>3</v>
      </c>
      <c r="K221" s="23">
        <v>0.01</v>
      </c>
      <c r="L221" s="23">
        <v>2</v>
      </c>
      <c r="M221" s="23" t="s">
        <v>649</v>
      </c>
      <c r="Z221" s="23">
        <v>8</v>
      </c>
      <c r="AA221" s="23">
        <v>0.04</v>
      </c>
      <c r="AP221" s="23">
        <v>1</v>
      </c>
      <c r="AY221" s="23">
        <v>4</v>
      </c>
      <c r="AZ221" s="23">
        <v>3</v>
      </c>
      <c r="BS221" s="23">
        <v>1</v>
      </c>
    </row>
    <row r="222" spans="1:82" x14ac:dyDescent="0.2">
      <c r="A222" s="23" t="s">
        <v>243</v>
      </c>
      <c r="B222" s="23" t="s">
        <v>245</v>
      </c>
      <c r="C222" s="23" t="s">
        <v>158</v>
      </c>
      <c r="D222" s="23" t="s">
        <v>298</v>
      </c>
      <c r="J222" s="23">
        <v>1</v>
      </c>
      <c r="K222" s="23">
        <v>0.06</v>
      </c>
      <c r="Z222" s="23">
        <v>1</v>
      </c>
      <c r="AA222" s="23">
        <v>7.0000000000000007E-2</v>
      </c>
    </row>
    <row r="223" spans="1:82" x14ac:dyDescent="0.2">
      <c r="A223" s="23">
        <v>133303</v>
      </c>
      <c r="B223" s="23" t="s">
        <v>252</v>
      </c>
      <c r="C223" s="23" t="s">
        <v>158</v>
      </c>
      <c r="D223" s="23" t="s">
        <v>298</v>
      </c>
      <c r="Z223" s="23">
        <v>1</v>
      </c>
      <c r="AA223" s="23">
        <v>0.08</v>
      </c>
    </row>
    <row r="224" spans="1:82" x14ac:dyDescent="0.2">
      <c r="A224" s="23">
        <v>133463</v>
      </c>
      <c r="B224" s="23" t="s">
        <v>277</v>
      </c>
      <c r="C224" s="23" t="s">
        <v>158</v>
      </c>
      <c r="D224" s="23" t="s">
        <v>298</v>
      </c>
      <c r="E224" s="23">
        <v>0.09</v>
      </c>
      <c r="H224" s="23" t="s">
        <v>280</v>
      </c>
      <c r="I224" s="23">
        <v>0.09</v>
      </c>
    </row>
    <row r="225" spans="1:9" x14ac:dyDescent="0.2">
      <c r="A225" s="23">
        <v>133911</v>
      </c>
      <c r="B225" s="23" t="s">
        <v>541</v>
      </c>
      <c r="C225" s="23" t="s">
        <v>220</v>
      </c>
      <c r="D225" s="23" t="s">
        <v>298</v>
      </c>
      <c r="E225" s="23">
        <v>0.44</v>
      </c>
      <c r="I225" s="23">
        <v>0.44</v>
      </c>
    </row>
    <row r="226" spans="1:9" x14ac:dyDescent="0.2">
      <c r="A226" s="23">
        <v>133912</v>
      </c>
      <c r="B226" s="23" t="s">
        <v>542</v>
      </c>
      <c r="C226" s="23" t="s">
        <v>312</v>
      </c>
      <c r="D226" s="23" t="s">
        <v>298</v>
      </c>
      <c r="E226" s="23">
        <v>0.2</v>
      </c>
      <c r="I226" s="23">
        <v>0.2</v>
      </c>
    </row>
  </sheetData>
  <mergeCells count="11">
    <mergeCell ref="A1:D1"/>
    <mergeCell ref="BY3:CD3"/>
    <mergeCell ref="A2:C2"/>
    <mergeCell ref="D2:I2"/>
    <mergeCell ref="J2:CD2"/>
    <mergeCell ref="E3:I3"/>
    <mergeCell ref="J3:Y3"/>
    <mergeCell ref="Z3:AO3"/>
    <mergeCell ref="AY3:BH3"/>
    <mergeCell ref="BI3:BX3"/>
    <mergeCell ref="AP3:AX3"/>
  </mergeCells>
  <pageMargins left="0.7" right="0.7" top="0.75" bottom="0.75" header="0.3" footer="0.3"/>
  <pageSetup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1_Transitional Archaic</vt:lpstr>
      <vt:lpstr>Table 2  Early–Middle Woodland</vt:lpstr>
      <vt:lpstr>Table 3 Late Middle Woodland</vt:lpstr>
      <vt:lpstr>Table 4 Early Late Woodland</vt:lpstr>
      <vt:lpstr>Table 5 middle-Late Woodland</vt:lpstr>
      <vt:lpstr>Table6late-LateWoodland-Contact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2021-09-01T16:43:23Z</dcterms:created>
  <dcterms:modified xsi:type="dcterms:W3CDTF">2023-11-09T03:39:22Z</dcterms:modified>
</cp:coreProperties>
</file>