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C:\Users\wrighth\OneDrive - PennO365\Desktop\"/>
    </mc:Choice>
  </mc:AlternateContent>
  <xr:revisionPtr revIDLastSave="0" documentId="8_{D9E9134C-054F-41A8-9032-1F257669937E}" xr6:coauthVersionLast="47" xr6:coauthVersionMax="47" xr10:uidLastSave="{00000000-0000-0000-0000-000000000000}"/>
  <bookViews>
    <workbookView xWindow="22932" yWindow="-108" windowWidth="30936" windowHeight="16896" firstSheet="1" activeTab="5" xr2:uid="{00000000-000D-0000-FFFF-FFFF00000000}"/>
  </bookViews>
  <sheets>
    <sheet name="Introduction" sheetId="27" r:id="rId1"/>
    <sheet name="Input Summary" sheetId="5" r:id="rId2"/>
    <sheet name="Cost Summary" sheetId="7" r:id="rId3"/>
    <sheet name="Detailed Cost Sheet" sheetId="30" r:id="rId4"/>
    <sheet name="Cash Flows" sheetId="2" r:id="rId5"/>
    <sheet name="Profitability Measures" sheetId="25" r:id="rId6"/>
    <sheet name="Sensitivity" sheetId="26" state="hidden" r:id="rId7"/>
    <sheet name="General Input" sheetId="18" r:id="rId8"/>
    <sheet name="Selling Price" sheetId="24" r:id="rId9"/>
    <sheet name="Var Costs &amp; WC" sheetId="20" r:id="rId10"/>
    <sheet name="Total Permanent Investment" sheetId="21" r:id="rId11"/>
    <sheet name="Equipment Costs" sheetId="22" r:id="rId12"/>
    <sheet name="Fixed Costs" sheetId="19" r:id="rId13"/>
    <sheet name="User Comments &amp; Documentation" sheetId="29" r:id="rId14"/>
    <sheet name="Revision History" sheetId="28" r:id="rId15"/>
  </sheets>
  <definedNames>
    <definedName name="_xlnm._FilterDatabase" localSheetId="3" hidden="1">'Detailed Cost Sheet'!$B$12:$B$21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5" i="18" l="1"/>
  <c r="C41" i="22"/>
  <c r="F96" i="18"/>
  <c r="D40" i="18"/>
  <c r="C36" i="22"/>
  <c r="C35" i="22"/>
  <c r="C34" i="22"/>
  <c r="C33" i="22"/>
  <c r="F95" i="18"/>
  <c r="C26" i="22"/>
  <c r="C25" i="22"/>
  <c r="C24" i="22"/>
  <c r="C23" i="22"/>
  <c r="C22" i="22"/>
  <c r="C21" i="22"/>
  <c r="C32" i="22"/>
  <c r="C31" i="22"/>
  <c r="C30" i="22"/>
  <c r="C29" i="22"/>
  <c r="C28" i="22"/>
  <c r="C10" i="22"/>
  <c r="C9" i="22"/>
  <c r="C8" i="22"/>
  <c r="C7" i="22"/>
  <c r="F92" i="18" l="1"/>
  <c r="C20" i="22"/>
  <c r="C19" i="22"/>
  <c r="C18" i="22"/>
  <c r="C17" i="22"/>
  <c r="C16" i="22"/>
  <c r="C15" i="22"/>
  <c r="F11" i="30"/>
  <c r="F56" i="30" s="1"/>
  <c r="F47" i="30"/>
  <c r="E47" i="30"/>
  <c r="D47" i="30"/>
  <c r="C47" i="30"/>
  <c r="B47" i="30"/>
  <c r="F46" i="30"/>
  <c r="E46" i="30"/>
  <c r="D46" i="30"/>
  <c r="C46" i="30"/>
  <c r="B46" i="30"/>
  <c r="F45" i="30"/>
  <c r="E45" i="30"/>
  <c r="D45" i="30"/>
  <c r="C45" i="30"/>
  <c r="B45" i="30"/>
  <c r="F44" i="30"/>
  <c r="E44" i="30"/>
  <c r="D44" i="30"/>
  <c r="C44" i="30"/>
  <c r="B44" i="30"/>
  <c r="D43" i="30"/>
  <c r="B43" i="30"/>
  <c r="D42" i="30"/>
  <c r="B42" i="30"/>
  <c r="D41" i="30"/>
  <c r="B41" i="30"/>
  <c r="D40" i="30"/>
  <c r="B40" i="30"/>
  <c r="D39" i="30"/>
  <c r="B39" i="30"/>
  <c r="D38" i="30"/>
  <c r="B38" i="30"/>
  <c r="F34" i="30"/>
  <c r="E34" i="30"/>
  <c r="D34" i="30"/>
  <c r="C34" i="30"/>
  <c r="B34" i="30"/>
  <c r="A34" i="30"/>
  <c r="F33" i="30"/>
  <c r="E33" i="30"/>
  <c r="D33" i="30"/>
  <c r="C33" i="30"/>
  <c r="B33" i="30"/>
  <c r="A33" i="30"/>
  <c r="F32" i="30"/>
  <c r="E32" i="30"/>
  <c r="D32" i="30"/>
  <c r="C32" i="30"/>
  <c r="B32" i="30"/>
  <c r="A32" i="30"/>
  <c r="F31" i="30"/>
  <c r="E31" i="30"/>
  <c r="D31" i="30"/>
  <c r="C31" i="30"/>
  <c r="B31" i="30"/>
  <c r="A31" i="30"/>
  <c r="F30" i="30"/>
  <c r="E30" i="30"/>
  <c r="D30" i="30"/>
  <c r="C30" i="30"/>
  <c r="B30" i="30"/>
  <c r="A30" i="30"/>
  <c r="F29" i="30"/>
  <c r="E29" i="30"/>
  <c r="D29" i="30"/>
  <c r="C29" i="30"/>
  <c r="B29" i="30"/>
  <c r="A29" i="30"/>
  <c r="F28" i="30"/>
  <c r="E28" i="30"/>
  <c r="D28" i="30"/>
  <c r="C28" i="30"/>
  <c r="B28" i="30"/>
  <c r="A28" i="30"/>
  <c r="F27" i="30"/>
  <c r="E27" i="30"/>
  <c r="D27" i="30"/>
  <c r="C27" i="30"/>
  <c r="B27" i="30"/>
  <c r="A27" i="30"/>
  <c r="D26" i="30"/>
  <c r="B26" i="30"/>
  <c r="A26" i="30"/>
  <c r="D25" i="30"/>
  <c r="B25" i="30"/>
  <c r="F25" i="30" s="1"/>
  <c r="A47" i="30"/>
  <c r="A46" i="30"/>
  <c r="A45" i="30"/>
  <c r="A44" i="30"/>
  <c r="A43" i="30"/>
  <c r="A42" i="30"/>
  <c r="A41" i="30"/>
  <c r="A40" i="30"/>
  <c r="A39" i="30"/>
  <c r="A38" i="30"/>
  <c r="A25" i="30"/>
  <c r="A12" i="30"/>
  <c r="F21" i="30"/>
  <c r="E21" i="30"/>
  <c r="D21" i="30"/>
  <c r="C21" i="30"/>
  <c r="B21" i="30"/>
  <c r="F20" i="30"/>
  <c r="E20" i="30"/>
  <c r="D20" i="30"/>
  <c r="C20" i="30"/>
  <c r="B20" i="30"/>
  <c r="F19" i="30"/>
  <c r="E19" i="30"/>
  <c r="D19" i="30"/>
  <c r="C19" i="30"/>
  <c r="B19" i="30"/>
  <c r="F18" i="30"/>
  <c r="E18" i="30"/>
  <c r="D18" i="30"/>
  <c r="C18" i="30"/>
  <c r="B18" i="30"/>
  <c r="D17" i="30"/>
  <c r="B17" i="30"/>
  <c r="D16" i="30"/>
  <c r="B16" i="30"/>
  <c r="D15" i="30"/>
  <c r="B15" i="30"/>
  <c r="F15" i="30" s="1"/>
  <c r="D14" i="30"/>
  <c r="B14" i="30"/>
  <c r="D13" i="30"/>
  <c r="B13" i="30"/>
  <c r="D12" i="30"/>
  <c r="B12" i="30"/>
  <c r="A21" i="30"/>
  <c r="A20" i="30"/>
  <c r="A19" i="30"/>
  <c r="A18" i="30"/>
  <c r="A17" i="30"/>
  <c r="A16" i="30"/>
  <c r="A15" i="30"/>
  <c r="A14" i="30"/>
  <c r="A13" i="30"/>
  <c r="C97" i="30"/>
  <c r="C96" i="30"/>
  <c r="C95" i="30"/>
  <c r="C94" i="30"/>
  <c r="C93" i="30"/>
  <c r="D81" i="30"/>
  <c r="E32" i="19"/>
  <c r="G30" i="19"/>
  <c r="D86" i="30"/>
  <c r="D85" i="30"/>
  <c r="D84" i="30"/>
  <c r="C80" i="30"/>
  <c r="C78" i="30"/>
  <c r="C75" i="30"/>
  <c r="C74" i="30"/>
  <c r="C73" i="30"/>
  <c r="C72" i="30"/>
  <c r="C68" i="30"/>
  <c r="C67" i="30"/>
  <c r="C66" i="30"/>
  <c r="C65" i="30"/>
  <c r="C61" i="30"/>
  <c r="C60" i="30"/>
  <c r="C59" i="30"/>
  <c r="C58" i="30"/>
  <c r="D61" i="30"/>
  <c r="D60" i="30"/>
  <c r="F50" i="30"/>
  <c r="D215" i="5"/>
  <c r="E215" i="5"/>
  <c r="R21" i="25"/>
  <c r="A45" i="25"/>
  <c r="D42" i="25"/>
  <c r="C51" i="25"/>
  <c r="C52" i="25" s="1"/>
  <c r="C49" i="25"/>
  <c r="C48" i="25" s="1"/>
  <c r="C47" i="25" s="1"/>
  <c r="J44" i="25"/>
  <c r="K44" i="25" s="1"/>
  <c r="H44" i="25"/>
  <c r="G44" i="25" s="1"/>
  <c r="F13" i="30" l="1"/>
  <c r="F43" i="30"/>
  <c r="F17" i="30"/>
  <c r="F16" i="30"/>
  <c r="F42" i="30"/>
  <c r="F39" i="30"/>
  <c r="F14" i="30"/>
  <c r="F100" i="30"/>
  <c r="F12" i="30"/>
  <c r="F38" i="30"/>
  <c r="F89" i="30"/>
  <c r="F40" i="30"/>
  <c r="F37" i="30"/>
  <c r="F26" i="30"/>
  <c r="F41" i="30"/>
  <c r="D87" i="30"/>
  <c r="C53" i="25"/>
  <c r="F44" i="25"/>
  <c r="L44" i="25"/>
  <c r="C46" i="25"/>
  <c r="G146" i="5"/>
  <c r="F22" i="30" l="1"/>
  <c r="C54" i="25"/>
  <c r="C45" i="25"/>
  <c r="M44" i="25"/>
  <c r="E44" i="25"/>
  <c r="D20" i="7"/>
  <c r="G104" i="18"/>
  <c r="H146" i="5" s="1"/>
  <c r="E20" i="7" l="1"/>
  <c r="F48" i="30"/>
  <c r="F35" i="30"/>
  <c r="N44" i="25"/>
  <c r="C55" i="25"/>
  <c r="D44" i="25"/>
  <c r="N43" i="2"/>
  <c r="N42" i="2"/>
  <c r="N41" i="2"/>
  <c r="N40" i="2"/>
  <c r="N39" i="2"/>
  <c r="G68" i="7"/>
  <c r="E68" i="7"/>
  <c r="E185" i="5"/>
  <c r="E183" i="5"/>
  <c r="H11" i="22"/>
  <c r="C17" i="5"/>
  <c r="T42" i="2"/>
  <c r="T41" i="2"/>
  <c r="T40" i="2"/>
  <c r="T39" i="2"/>
  <c r="E7" i="22" l="1"/>
  <c r="F52" i="30"/>
  <c r="F86" i="18"/>
  <c r="G129" i="5" s="1"/>
  <c r="F101" i="18"/>
  <c r="D18" i="7" s="1"/>
  <c r="F71" i="18"/>
  <c r="G115" i="5" s="1"/>
  <c r="E101" i="22"/>
  <c r="A77" i="7" s="1"/>
  <c r="E68" i="22"/>
  <c r="E80" i="22"/>
  <c r="E57" i="22"/>
  <c r="E81" i="22"/>
  <c r="E82" i="22"/>
  <c r="E79" i="22"/>
  <c r="E59" i="22"/>
  <c r="E71" i="22"/>
  <c r="E83" i="22"/>
  <c r="E66" i="22"/>
  <c r="E55" i="22"/>
  <c r="E60" i="22"/>
  <c r="E72" i="22"/>
  <c r="E84" i="22"/>
  <c r="E54" i="22"/>
  <c r="E69" i="22"/>
  <c r="E85" i="22"/>
  <c r="E62" i="22"/>
  <c r="E74" i="22"/>
  <c r="E86" i="22"/>
  <c r="E78" i="22"/>
  <c r="E56" i="22"/>
  <c r="E58" i="22"/>
  <c r="E73" i="22"/>
  <c r="E63" i="22"/>
  <c r="E75" i="22"/>
  <c r="E87" i="22"/>
  <c r="E64" i="22"/>
  <c r="E76" i="22"/>
  <c r="E88" i="22"/>
  <c r="E67" i="22"/>
  <c r="E70" i="22"/>
  <c r="E61" i="22"/>
  <c r="E53" i="22"/>
  <c r="E65" i="22"/>
  <c r="E77" i="22"/>
  <c r="E89" i="22"/>
  <c r="E52" i="22"/>
  <c r="E21" i="22"/>
  <c r="E11" i="22"/>
  <c r="E12" i="22"/>
  <c r="E24" i="22"/>
  <c r="E36" i="22"/>
  <c r="E34" i="22"/>
  <c r="E13" i="22"/>
  <c r="E25" i="22"/>
  <c r="E37" i="22"/>
  <c r="E23" i="22"/>
  <c r="E14" i="22"/>
  <c r="E26" i="22"/>
  <c r="E38" i="22"/>
  <c r="E10" i="22"/>
  <c r="E15" i="22"/>
  <c r="E27" i="22"/>
  <c r="E39" i="22"/>
  <c r="E22" i="22"/>
  <c r="E16" i="22"/>
  <c r="E28" i="22"/>
  <c r="E40" i="22"/>
  <c r="E17" i="22"/>
  <c r="E29" i="22"/>
  <c r="E41" i="22"/>
  <c r="E33" i="22"/>
  <c r="E18" i="22"/>
  <c r="E30" i="22"/>
  <c r="E42" i="22"/>
  <c r="E19" i="22"/>
  <c r="E31" i="22"/>
  <c r="E43" i="22"/>
  <c r="E9" i="22"/>
  <c r="E35" i="22"/>
  <c r="E8" i="22"/>
  <c r="E20" i="22"/>
  <c r="E32" i="22"/>
  <c r="E44" i="22"/>
  <c r="G7" i="21"/>
  <c r="D126" i="7"/>
  <c r="J28" i="25"/>
  <c r="K28" i="25" s="1"/>
  <c r="L28" i="25" s="1"/>
  <c r="M28" i="25" s="1"/>
  <c r="N28" i="25" s="1"/>
  <c r="H28" i="25"/>
  <c r="G28" i="25" s="1"/>
  <c r="F28" i="25" s="1"/>
  <c r="E28" i="25" s="1"/>
  <c r="D28" i="25" s="1"/>
  <c r="C35" i="25"/>
  <c r="C36" i="25" s="1"/>
  <c r="C37" i="25" s="1"/>
  <c r="C38" i="25" s="1"/>
  <c r="C33" i="25"/>
  <c r="C32" i="25" s="1"/>
  <c r="C31" i="25" s="1"/>
  <c r="E100" i="18"/>
  <c r="G100" i="18"/>
  <c r="E97" i="18"/>
  <c r="G97" i="18"/>
  <c r="E98" i="18"/>
  <c r="G98" i="18"/>
  <c r="E99" i="18"/>
  <c r="G99" i="18"/>
  <c r="G78" i="18"/>
  <c r="G79" i="18"/>
  <c r="G80" i="18"/>
  <c r="G81" i="18"/>
  <c r="G82" i="18"/>
  <c r="G83" i="18"/>
  <c r="G84" i="18"/>
  <c r="G85" i="18"/>
  <c r="E78" i="18"/>
  <c r="E79" i="18"/>
  <c r="E80" i="18"/>
  <c r="E81" i="18"/>
  <c r="E82" i="18"/>
  <c r="E83" i="18"/>
  <c r="E84" i="18"/>
  <c r="E85" i="18"/>
  <c r="G62" i="18"/>
  <c r="E13" i="30" s="1"/>
  <c r="G63" i="18"/>
  <c r="E14" i="30" s="1"/>
  <c r="G64" i="18"/>
  <c r="E15" i="30" s="1"/>
  <c r="G65" i="18"/>
  <c r="E16" i="30" s="1"/>
  <c r="G66" i="18"/>
  <c r="E17" i="30" s="1"/>
  <c r="G67" i="18"/>
  <c r="G68" i="18"/>
  <c r="G69" i="18"/>
  <c r="G70" i="18"/>
  <c r="E62" i="18"/>
  <c r="C13" i="30" s="1"/>
  <c r="E63" i="18"/>
  <c r="C14" i="30" s="1"/>
  <c r="E64" i="18"/>
  <c r="C15" i="30" s="1"/>
  <c r="E65" i="18"/>
  <c r="C16" i="30" s="1"/>
  <c r="E66" i="18"/>
  <c r="C17" i="30" s="1"/>
  <c r="E67" i="18"/>
  <c r="E68" i="18"/>
  <c r="E69" i="18"/>
  <c r="E70" i="18"/>
  <c r="H121" i="5"/>
  <c r="H122" i="5"/>
  <c r="H123" i="5"/>
  <c r="H124" i="5"/>
  <c r="H125" i="5"/>
  <c r="H126" i="5"/>
  <c r="H127" i="5"/>
  <c r="E121" i="5"/>
  <c r="E122" i="5"/>
  <c r="E123" i="5"/>
  <c r="E124" i="5"/>
  <c r="E125" i="5"/>
  <c r="E126" i="5"/>
  <c r="E127" i="5"/>
  <c r="E128" i="5"/>
  <c r="E76" i="18"/>
  <c r="C25" i="30" s="1"/>
  <c r="G76" i="18"/>
  <c r="E25" i="30" s="1"/>
  <c r="E77" i="18"/>
  <c r="C26" i="30" s="1"/>
  <c r="G77" i="18"/>
  <c r="E26" i="30" s="1"/>
  <c r="D106" i="5"/>
  <c r="G39" i="2"/>
  <c r="G41" i="2"/>
  <c r="G43" i="2"/>
  <c r="AC2" i="2"/>
  <c r="D39" i="2"/>
  <c r="D40" i="2"/>
  <c r="D41" i="2"/>
  <c r="D42" i="2"/>
  <c r="D43" i="2"/>
  <c r="C39" i="2"/>
  <c r="C40" i="2"/>
  <c r="C41" i="2"/>
  <c r="C42" i="2"/>
  <c r="C43" i="2"/>
  <c r="AC39" i="2"/>
  <c r="AE39" i="2" s="1"/>
  <c r="AC40" i="2"/>
  <c r="AE40" i="2" s="1"/>
  <c r="AC41" i="2"/>
  <c r="AE41" i="2" s="1"/>
  <c r="AC42" i="2"/>
  <c r="AE42" i="2" s="1"/>
  <c r="AC43" i="2"/>
  <c r="AE2" i="2"/>
  <c r="G101" i="18"/>
  <c r="G86" i="18"/>
  <c r="E16" i="7" s="1"/>
  <c r="G71" i="18"/>
  <c r="E14" i="7" s="1"/>
  <c r="B8" i="24"/>
  <c r="AA3" i="2"/>
  <c r="Z3" i="2"/>
  <c r="X3" i="2"/>
  <c r="U39" i="2"/>
  <c r="V39" i="2" s="1"/>
  <c r="U40" i="2"/>
  <c r="V40" i="2" s="1"/>
  <c r="U41" i="2"/>
  <c r="V41" i="2" s="1"/>
  <c r="U42" i="2"/>
  <c r="V42" i="2" s="1"/>
  <c r="U43" i="2"/>
  <c r="V43" i="2" s="1"/>
  <c r="U44" i="2"/>
  <c r="V44" i="2" s="1"/>
  <c r="U45" i="2"/>
  <c r="V45" i="2" s="1"/>
  <c r="V46" i="2"/>
  <c r="V47" i="2"/>
  <c r="V48" i="2"/>
  <c r="V3" i="2"/>
  <c r="S3" i="2"/>
  <c r="Q39" i="2"/>
  <c r="Q40" i="2"/>
  <c r="Q41" i="2"/>
  <c r="Q42" i="2"/>
  <c r="Q43" i="2"/>
  <c r="Q3" i="2"/>
  <c r="M3" i="2"/>
  <c r="J39" i="2"/>
  <c r="K39" i="2" s="1"/>
  <c r="J40" i="2"/>
  <c r="K40" i="2" s="1"/>
  <c r="J41" i="2"/>
  <c r="K41" i="2" s="1"/>
  <c r="K42" i="2"/>
  <c r="K43" i="2"/>
  <c r="K44" i="2"/>
  <c r="K3" i="2"/>
  <c r="I3" i="2"/>
  <c r="G3" i="2"/>
  <c r="L39" i="2"/>
  <c r="M39" i="2" s="1"/>
  <c r="L40" i="2"/>
  <c r="M40" i="2" s="1"/>
  <c r="L41" i="2"/>
  <c r="M41" i="2" s="1"/>
  <c r="L42" i="2"/>
  <c r="M42" i="2" s="1"/>
  <c r="L43" i="2"/>
  <c r="M43" i="2" s="1"/>
  <c r="L44" i="2"/>
  <c r="M44" i="2" s="1"/>
  <c r="R37" i="25"/>
  <c r="R38" i="25"/>
  <c r="R39" i="25"/>
  <c r="R40" i="25"/>
  <c r="R36" i="25"/>
  <c r="R25" i="25"/>
  <c r="R39" i="2"/>
  <c r="S39" i="2" s="1"/>
  <c r="R40" i="2"/>
  <c r="S40" i="2" s="1"/>
  <c r="R41" i="2"/>
  <c r="S41" i="2" s="1"/>
  <c r="R42" i="2"/>
  <c r="S42" i="2" s="1"/>
  <c r="D205" i="5"/>
  <c r="B16" i="20"/>
  <c r="D123" i="7"/>
  <c r="K17" i="20"/>
  <c r="E96" i="18"/>
  <c r="C43" i="30" s="1"/>
  <c r="E95" i="18"/>
  <c r="E94" i="18"/>
  <c r="E93" i="18"/>
  <c r="E92" i="18"/>
  <c r="E91" i="18"/>
  <c r="E61" i="18"/>
  <c r="C12" i="30" s="1"/>
  <c r="G118" i="7"/>
  <c r="H118" i="7" s="1"/>
  <c r="I118" i="7" s="1"/>
  <c r="AD39" i="2"/>
  <c r="AD40" i="2"/>
  <c r="AD41" i="2"/>
  <c r="AD42" i="2"/>
  <c r="AD43" i="2"/>
  <c r="G3" i="19"/>
  <c r="D121" i="7"/>
  <c r="D119" i="7"/>
  <c r="K15" i="20"/>
  <c r="H39" i="2"/>
  <c r="I39" i="2" s="1"/>
  <c r="H40" i="2"/>
  <c r="I40" i="2" s="1"/>
  <c r="B11" i="26"/>
  <c r="C11" i="26" s="1"/>
  <c r="E159" i="5"/>
  <c r="F159" i="5"/>
  <c r="E160" i="5"/>
  <c r="F160" i="5"/>
  <c r="E161" i="5"/>
  <c r="F161" i="5"/>
  <c r="E162" i="5"/>
  <c r="F162" i="5"/>
  <c r="F158" i="5"/>
  <c r="E158" i="5"/>
  <c r="B159" i="5"/>
  <c r="B160" i="5"/>
  <c r="B162" i="5"/>
  <c r="B158" i="5"/>
  <c r="K14" i="20"/>
  <c r="K16" i="20"/>
  <c r="K13" i="20"/>
  <c r="D15" i="5"/>
  <c r="C3" i="30" s="1"/>
  <c r="C4" i="30" s="1"/>
  <c r="D14" i="5"/>
  <c r="D13" i="5"/>
  <c r="W39" i="2"/>
  <c r="X39" i="2" s="1"/>
  <c r="W40" i="2"/>
  <c r="X40" i="2" s="1"/>
  <c r="W41" i="2"/>
  <c r="X41" i="2" s="1"/>
  <c r="W42" i="2"/>
  <c r="X42" i="2" s="1"/>
  <c r="W43" i="2"/>
  <c r="X43" i="2" s="1"/>
  <c r="W44" i="2"/>
  <c r="X44" i="2" s="1"/>
  <c r="B143" i="5"/>
  <c r="B133" i="5"/>
  <c r="C133" i="5"/>
  <c r="D133" i="5"/>
  <c r="G133" i="5"/>
  <c r="B134" i="5"/>
  <c r="C134" i="5"/>
  <c r="D134" i="5"/>
  <c r="G134" i="5"/>
  <c r="B135" i="5"/>
  <c r="C135" i="5"/>
  <c r="D135" i="5"/>
  <c r="G135" i="5"/>
  <c r="B136" i="5"/>
  <c r="C136" i="5"/>
  <c r="D136" i="5"/>
  <c r="G136" i="5"/>
  <c r="B137" i="5"/>
  <c r="C137" i="5"/>
  <c r="D137" i="5"/>
  <c r="G137" i="5"/>
  <c r="B138" i="5"/>
  <c r="C138" i="5"/>
  <c r="D138" i="5"/>
  <c r="E138" i="5"/>
  <c r="G138" i="5"/>
  <c r="B139" i="5"/>
  <c r="C139" i="5"/>
  <c r="D139" i="5"/>
  <c r="E139" i="5"/>
  <c r="G139" i="5"/>
  <c r="H139" i="5"/>
  <c r="B140" i="5"/>
  <c r="C140" i="5"/>
  <c r="D140" i="5"/>
  <c r="E140" i="5"/>
  <c r="G140" i="5"/>
  <c r="H140" i="5"/>
  <c r="B141" i="5"/>
  <c r="C141" i="5"/>
  <c r="D141" i="5"/>
  <c r="E141" i="5"/>
  <c r="G141" i="5"/>
  <c r="H141" i="5"/>
  <c r="B142" i="5"/>
  <c r="C142" i="5"/>
  <c r="D142" i="5"/>
  <c r="E142" i="5"/>
  <c r="G142" i="5"/>
  <c r="H142" i="5"/>
  <c r="A142" i="5"/>
  <c r="A134" i="5"/>
  <c r="A135" i="5"/>
  <c r="A136" i="5"/>
  <c r="A137" i="5"/>
  <c r="A138" i="5"/>
  <c r="A139" i="5"/>
  <c r="A140" i="5"/>
  <c r="A141" i="5"/>
  <c r="A133" i="5"/>
  <c r="G132" i="5"/>
  <c r="D132" i="5"/>
  <c r="C132" i="5"/>
  <c r="B132" i="5"/>
  <c r="B120" i="5"/>
  <c r="C120" i="5"/>
  <c r="D120" i="5"/>
  <c r="G120" i="5"/>
  <c r="C121" i="5"/>
  <c r="D121" i="5"/>
  <c r="G121" i="5"/>
  <c r="B122" i="5"/>
  <c r="C122" i="5"/>
  <c r="D122" i="5"/>
  <c r="G122" i="5"/>
  <c r="B123" i="5"/>
  <c r="C123" i="5"/>
  <c r="D123" i="5"/>
  <c r="G123" i="5"/>
  <c r="B124" i="5"/>
  <c r="C124" i="5"/>
  <c r="D124" i="5"/>
  <c r="G124" i="5"/>
  <c r="B125" i="5"/>
  <c r="C125" i="5"/>
  <c r="D125" i="5"/>
  <c r="G125" i="5"/>
  <c r="B126" i="5"/>
  <c r="C126" i="5"/>
  <c r="D126" i="5"/>
  <c r="G126" i="5"/>
  <c r="B127" i="5"/>
  <c r="C127" i="5"/>
  <c r="D127" i="5"/>
  <c r="G127" i="5"/>
  <c r="B128" i="5"/>
  <c r="C128" i="5"/>
  <c r="D128" i="5"/>
  <c r="G128" i="5"/>
  <c r="B129" i="5"/>
  <c r="B147" i="5"/>
  <c r="C147" i="5"/>
  <c r="D147" i="5"/>
  <c r="G147" i="5"/>
  <c r="A120" i="5"/>
  <c r="A121" i="5"/>
  <c r="A122" i="5"/>
  <c r="A123" i="5"/>
  <c r="A124" i="5"/>
  <c r="A125" i="5"/>
  <c r="A126" i="5"/>
  <c r="A127" i="5"/>
  <c r="A128" i="5"/>
  <c r="B119" i="5"/>
  <c r="C119" i="5"/>
  <c r="D119" i="5"/>
  <c r="G119" i="5"/>
  <c r="A119" i="5"/>
  <c r="G118" i="5"/>
  <c r="D118" i="5"/>
  <c r="C118" i="5"/>
  <c r="B118" i="5"/>
  <c r="A114" i="5"/>
  <c r="A106" i="5"/>
  <c r="A107" i="5"/>
  <c r="A108" i="5"/>
  <c r="A109" i="5"/>
  <c r="A110" i="5"/>
  <c r="A111" i="5"/>
  <c r="A112" i="5"/>
  <c r="A113" i="5"/>
  <c r="A105" i="5"/>
  <c r="B115" i="5"/>
  <c r="B106" i="5"/>
  <c r="C106" i="5"/>
  <c r="G106" i="5"/>
  <c r="B107" i="5"/>
  <c r="C107" i="5"/>
  <c r="D107" i="5"/>
  <c r="E107" i="5"/>
  <c r="G107" i="5"/>
  <c r="B108" i="5"/>
  <c r="C108" i="5"/>
  <c r="D108" i="5"/>
  <c r="G108" i="5"/>
  <c r="H108" i="5"/>
  <c r="B109" i="5"/>
  <c r="C109" i="5"/>
  <c r="D109" i="5"/>
  <c r="G109" i="5"/>
  <c r="H109" i="5"/>
  <c r="B110" i="5"/>
  <c r="C110" i="5"/>
  <c r="D110" i="5"/>
  <c r="G110" i="5"/>
  <c r="H110" i="5"/>
  <c r="B111" i="5"/>
  <c r="C111" i="5"/>
  <c r="D111" i="5"/>
  <c r="E111" i="5"/>
  <c r="G111" i="5"/>
  <c r="H111" i="5"/>
  <c r="B112" i="5"/>
  <c r="C112" i="5"/>
  <c r="D112" i="5"/>
  <c r="E112" i="5"/>
  <c r="G112" i="5"/>
  <c r="H112" i="5"/>
  <c r="B113" i="5"/>
  <c r="C113" i="5"/>
  <c r="D113" i="5"/>
  <c r="E113" i="5"/>
  <c r="G113" i="5"/>
  <c r="H113" i="5"/>
  <c r="B114" i="5"/>
  <c r="C114" i="5"/>
  <c r="D114" i="5"/>
  <c r="E114" i="5"/>
  <c r="G114" i="5"/>
  <c r="H114" i="5"/>
  <c r="C105" i="5"/>
  <c r="D105" i="5"/>
  <c r="G105" i="5"/>
  <c r="B105" i="5"/>
  <c r="G104" i="5"/>
  <c r="D104" i="5"/>
  <c r="C104" i="5"/>
  <c r="B104" i="5"/>
  <c r="G96" i="18"/>
  <c r="E43" i="30" s="1"/>
  <c r="H138" i="5"/>
  <c r="G95" i="18"/>
  <c r="G94" i="18"/>
  <c r="G93" i="18"/>
  <c r="G92" i="18"/>
  <c r="G91" i="18"/>
  <c r="D4" i="21"/>
  <c r="D5" i="21" s="1"/>
  <c r="D6" i="21" s="1"/>
  <c r="F46" i="2"/>
  <c r="F48" i="2"/>
  <c r="E39" i="2"/>
  <c r="E40" i="2"/>
  <c r="F40" i="2" s="1"/>
  <c r="G40" i="2" s="1"/>
  <c r="E41" i="2"/>
  <c r="E42" i="2"/>
  <c r="F42" i="2" s="1"/>
  <c r="G42" i="2" s="1"/>
  <c r="E43" i="2"/>
  <c r="E44" i="2"/>
  <c r="F44" i="2" s="1"/>
  <c r="G44" i="2" s="1"/>
  <c r="B41" i="24"/>
  <c r="D41" i="24" s="1"/>
  <c r="B42" i="24"/>
  <c r="D42" i="24" s="1"/>
  <c r="B43" i="24"/>
  <c r="D43" i="24" s="1"/>
  <c r="B44" i="24"/>
  <c r="D44" i="24" s="1"/>
  <c r="B45" i="24"/>
  <c r="D45" i="24" s="1"/>
  <c r="B46" i="24"/>
  <c r="D46" i="24" s="1"/>
  <c r="B47" i="24"/>
  <c r="D47" i="24" s="1"/>
  <c r="B48" i="24"/>
  <c r="D48" i="24" s="1"/>
  <c r="B49" i="24"/>
  <c r="D49" i="24" s="1"/>
  <c r="B50" i="24"/>
  <c r="B51" i="24"/>
  <c r="B52" i="24"/>
  <c r="B53" i="24"/>
  <c r="B54" i="24"/>
  <c r="B55" i="24"/>
  <c r="B56" i="24"/>
  <c r="B57" i="24"/>
  <c r="B58" i="24"/>
  <c r="B59" i="24"/>
  <c r="B60" i="24"/>
  <c r="B61" i="24"/>
  <c r="B62" i="24"/>
  <c r="A8" i="24"/>
  <c r="G61" i="18"/>
  <c r="E12" i="30" s="1"/>
  <c r="D25" i="18"/>
  <c r="C8" i="5" s="1"/>
  <c r="C7" i="5" s="1"/>
  <c r="C6" i="5" s="1"/>
  <c r="C15" i="5" s="1"/>
  <c r="F81" i="30" s="1"/>
  <c r="E53" i="18"/>
  <c r="E55" i="18"/>
  <c r="E51" i="18"/>
  <c r="E48" i="18"/>
  <c r="D17" i="5" s="1"/>
  <c r="E173" i="5"/>
  <c r="E172" i="5"/>
  <c r="G108" i="7" s="1"/>
  <c r="E171" i="5"/>
  <c r="E170" i="5"/>
  <c r="E169" i="5"/>
  <c r="G92" i="7" s="1"/>
  <c r="E168" i="5"/>
  <c r="E167" i="5"/>
  <c r="E151" i="5"/>
  <c r="E152" i="5"/>
  <c r="E153" i="5"/>
  <c r="E154" i="5"/>
  <c r="E150" i="5"/>
  <c r="C7" i="7"/>
  <c r="C8" i="7"/>
  <c r="C9" i="7"/>
  <c r="C10" i="7"/>
  <c r="C6" i="7"/>
  <c r="C61" i="7"/>
  <c r="C62" i="7"/>
  <c r="C60" i="7"/>
  <c r="B58" i="7"/>
  <c r="B54" i="7"/>
  <c r="C56" i="7"/>
  <c r="C47" i="7"/>
  <c r="C48" i="7"/>
  <c r="C49" i="7"/>
  <c r="C50" i="7"/>
  <c r="B108" i="7"/>
  <c r="B109" i="7"/>
  <c r="B107" i="7"/>
  <c r="B91" i="7"/>
  <c r="B92" i="7"/>
  <c r="B90" i="7"/>
  <c r="F21" i="5"/>
  <c r="P3" i="2" s="1"/>
  <c r="E179" i="5"/>
  <c r="M13" i="22"/>
  <c r="D10" i="18"/>
  <c r="C2" i="5"/>
  <c r="C3" i="5"/>
  <c r="C4" i="5"/>
  <c r="C5" i="5"/>
  <c r="A22" i="5"/>
  <c r="J22" i="5" s="1"/>
  <c r="F22" i="5" s="1"/>
  <c r="E178" i="5"/>
  <c r="E180" i="5"/>
  <c r="E181" i="5"/>
  <c r="E182" i="5"/>
  <c r="G32" i="7" s="1"/>
  <c r="E184" i="5"/>
  <c r="G33" i="7" s="1"/>
  <c r="E188" i="5"/>
  <c r="E189" i="5"/>
  <c r="E190" i="5"/>
  <c r="E191" i="5"/>
  <c r="E195" i="5"/>
  <c r="E196" i="5"/>
  <c r="E197" i="5"/>
  <c r="E198" i="5"/>
  <c r="E202" i="5"/>
  <c r="C205" i="5"/>
  <c r="F206" i="5"/>
  <c r="C207" i="5"/>
  <c r="D207" i="5"/>
  <c r="E210" i="5"/>
  <c r="G60" i="7" s="1"/>
  <c r="E211" i="5"/>
  <c r="G61" i="7" s="1"/>
  <c r="E212" i="5"/>
  <c r="G62" i="7" s="1"/>
  <c r="E218" i="5"/>
  <c r="E110" i="5" l="1"/>
  <c r="E109" i="5"/>
  <c r="H137" i="5"/>
  <c r="E42" i="30"/>
  <c r="H107" i="5"/>
  <c r="H135" i="5"/>
  <c r="E40" i="30"/>
  <c r="H136" i="5"/>
  <c r="E41" i="30"/>
  <c r="H120" i="5"/>
  <c r="F178" i="5"/>
  <c r="C57" i="30"/>
  <c r="E108" i="5"/>
  <c r="H134" i="5"/>
  <c r="E39" i="30"/>
  <c r="H106" i="5"/>
  <c r="E106" i="5"/>
  <c r="H105" i="5"/>
  <c r="E105" i="5"/>
  <c r="E120" i="5"/>
  <c r="E135" i="5"/>
  <c r="C40" i="30"/>
  <c r="E134" i="5"/>
  <c r="C39" i="30"/>
  <c r="E136" i="5"/>
  <c r="C41" i="30"/>
  <c r="E137" i="5"/>
  <c r="C42" i="30"/>
  <c r="F85" i="30"/>
  <c r="F86" i="30"/>
  <c r="F84" i="30"/>
  <c r="F61" i="30"/>
  <c r="F60" i="30"/>
  <c r="H133" i="5"/>
  <c r="E38" i="30"/>
  <c r="E133" i="5"/>
  <c r="C38" i="30"/>
  <c r="B3" i="30"/>
  <c r="B4" i="30" s="1"/>
  <c r="H119" i="5"/>
  <c r="E119" i="5"/>
  <c r="H128" i="5"/>
  <c r="B34" i="25"/>
  <c r="B37" i="25" s="1"/>
  <c r="B50" i="25"/>
  <c r="C13" i="5"/>
  <c r="G20" i="7"/>
  <c r="G62" i="5"/>
  <c r="D87" i="5"/>
  <c r="A98" i="5"/>
  <c r="G71" i="5"/>
  <c r="D77" i="5"/>
  <c r="A93" i="5"/>
  <c r="D16" i="7"/>
  <c r="G77" i="5"/>
  <c r="F64" i="5"/>
  <c r="B84" i="7"/>
  <c r="A94" i="5"/>
  <c r="A96" i="5"/>
  <c r="A95" i="5"/>
  <c r="G87" i="5"/>
  <c r="G75" i="5"/>
  <c r="F65" i="5"/>
  <c r="A70" i="5"/>
  <c r="G98" i="5"/>
  <c r="G92" i="5"/>
  <c r="F67" i="5"/>
  <c r="G74" i="5"/>
  <c r="G83" i="5"/>
  <c r="G68" i="5"/>
  <c r="D83" i="5"/>
  <c r="A65" i="5"/>
  <c r="D85" i="5"/>
  <c r="A68" i="5"/>
  <c r="A67" i="5"/>
  <c r="D82" i="5"/>
  <c r="D84" i="5"/>
  <c r="D73" i="5"/>
  <c r="D86" i="5"/>
  <c r="D75" i="5"/>
  <c r="D88" i="5"/>
  <c r="D95" i="5"/>
  <c r="D90" i="5"/>
  <c r="A78" i="5"/>
  <c r="D98" i="5"/>
  <c r="A90" i="5"/>
  <c r="A101" i="5"/>
  <c r="A92" i="5"/>
  <c r="A91" i="5"/>
  <c r="F66" i="5"/>
  <c r="D61" i="5"/>
  <c r="D64" i="5"/>
  <c r="A73" i="5"/>
  <c r="F63" i="5"/>
  <c r="B81" i="7"/>
  <c r="D97" i="5"/>
  <c r="D62" i="5"/>
  <c r="A71" i="5"/>
  <c r="B79" i="7"/>
  <c r="A72" i="5"/>
  <c r="D66" i="5"/>
  <c r="A79" i="5"/>
  <c r="G59" i="5"/>
  <c r="B78" i="7"/>
  <c r="D63" i="5"/>
  <c r="A74" i="5"/>
  <c r="D74" i="5"/>
  <c r="A81" i="5"/>
  <c r="A64" i="5"/>
  <c r="G79" i="7"/>
  <c r="G85" i="5"/>
  <c r="G76" i="5"/>
  <c r="G88" i="5"/>
  <c r="D71" i="5"/>
  <c r="A76" i="5"/>
  <c r="D80" i="5"/>
  <c r="A83" i="5"/>
  <c r="A66" i="5"/>
  <c r="G82" i="7"/>
  <c r="G73" i="5"/>
  <c r="G93" i="5"/>
  <c r="G90" i="5"/>
  <c r="A97" i="5"/>
  <c r="A69" i="5"/>
  <c r="G84" i="7"/>
  <c r="D79" i="5"/>
  <c r="A80" i="5"/>
  <c r="D76" i="5"/>
  <c r="A75" i="5"/>
  <c r="F59" i="5"/>
  <c r="G96" i="5"/>
  <c r="G81" i="5"/>
  <c r="G78" i="5"/>
  <c r="D81" i="5"/>
  <c r="A82" i="5"/>
  <c r="D78" i="5"/>
  <c r="A77" i="5"/>
  <c r="A59" i="5"/>
  <c r="G61" i="5"/>
  <c r="G84" i="5"/>
  <c r="G69" i="5"/>
  <c r="G66" i="5"/>
  <c r="B82" i="7"/>
  <c r="G86" i="5"/>
  <c r="G95" i="5"/>
  <c r="G80" i="5"/>
  <c r="D65" i="5"/>
  <c r="D89" i="5"/>
  <c r="A84" i="5"/>
  <c r="D68" i="5"/>
  <c r="D92" i="5"/>
  <c r="A85" i="5"/>
  <c r="A61" i="5"/>
  <c r="A63" i="5"/>
  <c r="B83" i="7"/>
  <c r="G89" i="5"/>
  <c r="G94" i="5"/>
  <c r="G91" i="5"/>
  <c r="D67" i="5"/>
  <c r="D91" i="5"/>
  <c r="A86" i="5"/>
  <c r="D70" i="5"/>
  <c r="D94" i="5"/>
  <c r="A87" i="5"/>
  <c r="B80" i="7"/>
  <c r="G83" i="7"/>
  <c r="G63" i="5"/>
  <c r="G82" i="5"/>
  <c r="G79" i="5"/>
  <c r="D69" i="5"/>
  <c r="D93" i="5"/>
  <c r="A88" i="5"/>
  <c r="D72" i="5"/>
  <c r="D96" i="5"/>
  <c r="A89" i="5"/>
  <c r="F69" i="5"/>
  <c r="G80" i="7"/>
  <c r="G97" i="5"/>
  <c r="G70" i="5"/>
  <c r="G67" i="5"/>
  <c r="G72" i="5"/>
  <c r="G64" i="5"/>
  <c r="G78" i="7"/>
  <c r="G65" i="5"/>
  <c r="G29" i="7"/>
  <c r="H112" i="7"/>
  <c r="H102" i="7"/>
  <c r="A45" i="22"/>
  <c r="A99" i="5" s="1"/>
  <c r="A9" i="24"/>
  <c r="B9" i="24" s="1"/>
  <c r="D9" i="24" s="1"/>
  <c r="H115" i="5"/>
  <c r="B6" i="26"/>
  <c r="C6" i="26" s="1"/>
  <c r="O40" i="2"/>
  <c r="O39" i="2"/>
  <c r="D7" i="21"/>
  <c r="C22" i="5" s="1"/>
  <c r="G64" i="7"/>
  <c r="H129" i="5"/>
  <c r="B22" i="5"/>
  <c r="E22" i="5" s="1"/>
  <c r="C4" i="2" s="1"/>
  <c r="G143" i="5"/>
  <c r="B4" i="2"/>
  <c r="B15" i="26"/>
  <c r="C15" i="26" s="1"/>
  <c r="G31" i="7"/>
  <c r="D59" i="30" s="1"/>
  <c r="F59" i="30" s="1"/>
  <c r="B13" i="26"/>
  <c r="C13" i="26" s="1"/>
  <c r="B16" i="26"/>
  <c r="C16" i="26" s="1"/>
  <c r="B8" i="26"/>
  <c r="C8" i="26" s="1"/>
  <c r="B12" i="26"/>
  <c r="C12" i="26" s="1"/>
  <c r="B7" i="26"/>
  <c r="C7" i="26" s="1"/>
  <c r="O41" i="2"/>
  <c r="B10" i="26"/>
  <c r="C10" i="26" s="1"/>
  <c r="B9" i="26"/>
  <c r="C9" i="26" s="1"/>
  <c r="A23" i="5"/>
  <c r="A62" i="5"/>
  <c r="H22" i="5"/>
  <c r="B14" i="26"/>
  <c r="C14" i="26" s="1"/>
  <c r="D8" i="24"/>
  <c r="J13" i="20" s="1"/>
  <c r="C30" i="25"/>
  <c r="G6" i="7"/>
  <c r="D93" i="30" s="1"/>
  <c r="F93" i="30" s="1"/>
  <c r="G7" i="7"/>
  <c r="D94" i="30" s="1"/>
  <c r="F94" i="30" s="1"/>
  <c r="G8" i="7"/>
  <c r="D95" i="30" s="1"/>
  <c r="F95" i="30" s="1"/>
  <c r="G10" i="7"/>
  <c r="D97" i="30" s="1"/>
  <c r="F97" i="30" s="1"/>
  <c r="G16" i="7"/>
  <c r="G9" i="7"/>
  <c r="D96" i="30" s="1"/>
  <c r="F96" i="30" s="1"/>
  <c r="C14" i="5"/>
  <c r="G18" i="7"/>
  <c r="J16" i="20"/>
  <c r="C39" i="25"/>
  <c r="D14" i="7"/>
  <c r="G14" i="7"/>
  <c r="H143" i="5"/>
  <c r="E18" i="7"/>
  <c r="E45" i="22"/>
  <c r="B161" i="5"/>
  <c r="D122" i="7"/>
  <c r="G81" i="7"/>
  <c r="B86" i="7"/>
  <c r="G30" i="7" l="1"/>
  <c r="D58" i="30" s="1"/>
  <c r="F58" i="30" s="1"/>
  <c r="D57" i="30"/>
  <c r="B32" i="25"/>
  <c r="B33" i="25"/>
  <c r="B35" i="25"/>
  <c r="B31" i="25"/>
  <c r="B39" i="25"/>
  <c r="B38" i="25"/>
  <c r="F87" i="30"/>
  <c r="F98" i="30"/>
  <c r="D98" i="30"/>
  <c r="B36" i="25"/>
  <c r="B49" i="25"/>
  <c r="B48" i="25"/>
  <c r="B51" i="25"/>
  <c r="B47" i="25"/>
  <c r="B52" i="25"/>
  <c r="B53" i="25"/>
  <c r="B46" i="25"/>
  <c r="B45" i="25"/>
  <c r="B54" i="25"/>
  <c r="B55" i="25"/>
  <c r="A5" i="25"/>
  <c r="N4" i="2"/>
  <c r="J15" i="20"/>
  <c r="P4" i="2"/>
  <c r="A10" i="24"/>
  <c r="A11" i="24" s="1"/>
  <c r="H86" i="7"/>
  <c r="G90" i="7" s="1"/>
  <c r="E4" i="2"/>
  <c r="D4" i="2"/>
  <c r="E47" i="22"/>
  <c r="G99" i="5"/>
  <c r="G101" i="5" s="1"/>
  <c r="AD4" i="2"/>
  <c r="H4" i="2"/>
  <c r="I4" i="2" s="1"/>
  <c r="C23" i="5"/>
  <c r="B23" i="5"/>
  <c r="E23" i="5" s="1"/>
  <c r="C5" i="2" s="1"/>
  <c r="J23" i="5"/>
  <c r="F23" i="5" s="1"/>
  <c r="A24" i="5"/>
  <c r="J24" i="5" s="1"/>
  <c r="H23" i="5"/>
  <c r="B5" i="2"/>
  <c r="N5" i="2" s="1"/>
  <c r="G12" i="7"/>
  <c r="G22" i="7" s="1"/>
  <c r="J17" i="20"/>
  <c r="B30" i="25"/>
  <c r="C29" i="25"/>
  <c r="B29" i="25" s="1"/>
  <c r="G35" i="7" l="1"/>
  <c r="D62" i="30"/>
  <c r="F57" i="30"/>
  <c r="F62" i="30" s="1"/>
  <c r="Q4" i="2"/>
  <c r="B10" i="24"/>
  <c r="D10" i="24" s="1"/>
  <c r="G91" i="7"/>
  <c r="H94" i="7" s="1"/>
  <c r="G99" i="7" s="1"/>
  <c r="F4" i="2"/>
  <c r="G4" i="2" s="1"/>
  <c r="T4" i="2"/>
  <c r="B11" i="24"/>
  <c r="D11" i="24" s="1"/>
  <c r="A12" i="24"/>
  <c r="E5" i="2"/>
  <c r="P5" i="2"/>
  <c r="AD5" i="2"/>
  <c r="L5" i="2" s="1"/>
  <c r="D5" i="2"/>
  <c r="B6" i="2"/>
  <c r="A25" i="5"/>
  <c r="J25" i="5" s="1"/>
  <c r="C24" i="5"/>
  <c r="B24" i="5"/>
  <c r="E24" i="5" s="1"/>
  <c r="C6" i="2" s="1"/>
  <c r="F24" i="5"/>
  <c r="H24" i="5"/>
  <c r="F4" i="26"/>
  <c r="F5" i="26" s="1"/>
  <c r="K4" i="26"/>
  <c r="K5" i="26" s="1"/>
  <c r="I4" i="26"/>
  <c r="I5" i="26" s="1"/>
  <c r="M4" i="26"/>
  <c r="M5" i="26" s="1"/>
  <c r="G4" i="26"/>
  <c r="G5" i="26" s="1"/>
  <c r="J4" i="26"/>
  <c r="J5" i="26" s="1"/>
  <c r="D4" i="26"/>
  <c r="D5" i="26" s="1"/>
  <c r="N4" i="26"/>
  <c r="N5" i="26" s="1"/>
  <c r="R22" i="25"/>
  <c r="H4" i="26"/>
  <c r="H5" i="26" s="1"/>
  <c r="E4" i="26"/>
  <c r="E5" i="26" s="1"/>
  <c r="L4" i="26"/>
  <c r="L5" i="26" s="1"/>
  <c r="L4" i="2"/>
  <c r="H101" i="7" l="1"/>
  <c r="H103" i="7" s="1"/>
  <c r="F5" i="2"/>
  <c r="G5" i="2" s="1"/>
  <c r="T5" i="2"/>
  <c r="Q5" i="2"/>
  <c r="C25" i="5"/>
  <c r="B25" i="5"/>
  <c r="E25" i="5" s="1"/>
  <c r="C7" i="2" s="1"/>
  <c r="H25" i="5"/>
  <c r="A26" i="5"/>
  <c r="J26" i="5" s="1"/>
  <c r="F25" i="5"/>
  <c r="B7" i="2"/>
  <c r="B12" i="24"/>
  <c r="D12" i="24" s="1"/>
  <c r="A13" i="24"/>
  <c r="P6" i="2"/>
  <c r="AD6" i="2"/>
  <c r="L6" i="2" s="1"/>
  <c r="M6" i="2" s="1"/>
  <c r="D6" i="2"/>
  <c r="E6" i="2"/>
  <c r="O5" i="2"/>
  <c r="M5" i="2"/>
  <c r="M4" i="2"/>
  <c r="O4" i="2"/>
  <c r="R4" i="2" l="1"/>
  <c r="U4" i="2" s="1"/>
  <c r="W4" i="2" s="1"/>
  <c r="X4" i="2" s="1"/>
  <c r="B5" i="30"/>
  <c r="R6" i="2"/>
  <c r="S6" i="2" s="1"/>
  <c r="G107" i="7"/>
  <c r="G56" i="7"/>
  <c r="D78" i="30" s="1"/>
  <c r="F78" i="30" s="1"/>
  <c r="G38" i="7"/>
  <c r="R5" i="2"/>
  <c r="S5" i="2" s="1"/>
  <c r="G109" i="7"/>
  <c r="F6" i="2"/>
  <c r="G6" i="2" s="1"/>
  <c r="T6" i="2"/>
  <c r="E7" i="2"/>
  <c r="AD7" i="2"/>
  <c r="L7" i="2" s="1"/>
  <c r="M7" i="2" s="1"/>
  <c r="P7" i="2"/>
  <c r="R7" i="2" s="1"/>
  <c r="S7" i="2" s="1"/>
  <c r="D7" i="2"/>
  <c r="A27" i="5"/>
  <c r="J27" i="5" s="1"/>
  <c r="C26" i="5"/>
  <c r="F26" i="5"/>
  <c r="H26" i="5"/>
  <c r="B8" i="2"/>
  <c r="B26" i="5"/>
  <c r="E26" i="5" s="1"/>
  <c r="C8" i="2" s="1"/>
  <c r="A14" i="24"/>
  <c r="B13" i="24"/>
  <c r="D13" i="24" s="1"/>
  <c r="S4" i="2" l="1"/>
  <c r="G40" i="7"/>
  <c r="D67" i="30" s="1"/>
  <c r="F67" i="30" s="1"/>
  <c r="D65" i="30"/>
  <c r="F65" i="30" s="1"/>
  <c r="H111" i="7"/>
  <c r="H113" i="7" s="1"/>
  <c r="B6" i="30" s="1"/>
  <c r="V4" i="2"/>
  <c r="G39" i="7"/>
  <c r="Y4" i="2"/>
  <c r="Z4" i="2" s="1"/>
  <c r="U5" i="2"/>
  <c r="W5" i="2" s="1"/>
  <c r="X5" i="2" s="1"/>
  <c r="G41" i="7"/>
  <c r="D68" i="30" s="1"/>
  <c r="F68" i="30" s="1"/>
  <c r="F7" i="2"/>
  <c r="G7" i="2" s="1"/>
  <c r="T7" i="2"/>
  <c r="B9" i="2"/>
  <c r="F27" i="5"/>
  <c r="H27" i="5"/>
  <c r="A28" i="5"/>
  <c r="J28" i="5" s="1"/>
  <c r="B27" i="5"/>
  <c r="E27" i="5" s="1"/>
  <c r="C9" i="2" s="1"/>
  <c r="C27" i="5"/>
  <c r="A15" i="24"/>
  <c r="B14" i="24"/>
  <c r="D14" i="24" s="1"/>
  <c r="AD8" i="2"/>
  <c r="L8" i="2" s="1"/>
  <c r="M8" i="2" s="1"/>
  <c r="H8" i="2"/>
  <c r="I8" i="2" s="1"/>
  <c r="E8" i="2"/>
  <c r="T8" i="2" s="1"/>
  <c r="P8" i="2"/>
  <c r="R8" i="2" s="1"/>
  <c r="S8" i="2" s="1"/>
  <c r="D8" i="2"/>
  <c r="E12" i="25" l="1"/>
  <c r="D80" i="30" s="1"/>
  <c r="F80" i="30" s="1"/>
  <c r="G48" i="7"/>
  <c r="D73" i="30" s="1"/>
  <c r="F73" i="30" s="1"/>
  <c r="D66" i="30"/>
  <c r="F66" i="30" s="1"/>
  <c r="H5" i="2"/>
  <c r="I5" i="2" s="1"/>
  <c r="H6" i="2"/>
  <c r="I6" i="2" s="1"/>
  <c r="H7" i="2"/>
  <c r="I7" i="2" s="1"/>
  <c r="R24" i="25"/>
  <c r="G47" i="7"/>
  <c r="D72" i="30" s="1"/>
  <c r="F72" i="30" s="1"/>
  <c r="G50" i="7"/>
  <c r="D75" i="30" s="1"/>
  <c r="F75" i="30" s="1"/>
  <c r="G43" i="7"/>
  <c r="G49" i="7"/>
  <c r="D74" i="30" s="1"/>
  <c r="F74" i="30" s="1"/>
  <c r="V5" i="2"/>
  <c r="Y5" i="2"/>
  <c r="Z5" i="2" s="1"/>
  <c r="B15" i="24"/>
  <c r="D15" i="24" s="1"/>
  <c r="A16" i="24"/>
  <c r="F28" i="5"/>
  <c r="C28" i="5"/>
  <c r="A29" i="5"/>
  <c r="J29" i="5" s="1"/>
  <c r="H28" i="5"/>
  <c r="B10" i="2"/>
  <c r="B28" i="5"/>
  <c r="E28" i="5" s="1"/>
  <c r="C10" i="2" s="1"/>
  <c r="F8" i="2"/>
  <c r="AD9" i="2"/>
  <c r="L9" i="2" s="1"/>
  <c r="E9" i="2"/>
  <c r="T9" i="2" s="1"/>
  <c r="P9" i="2"/>
  <c r="R9" i="2" s="1"/>
  <c r="S9" i="2" s="1"/>
  <c r="H9" i="2"/>
  <c r="I9" i="2" s="1"/>
  <c r="D9" i="2"/>
  <c r="F69" i="30" l="1"/>
  <c r="D69" i="30"/>
  <c r="F76" i="30"/>
  <c r="D76" i="30"/>
  <c r="I27" i="25"/>
  <c r="M27" i="25" s="1"/>
  <c r="I43" i="25"/>
  <c r="G52" i="7"/>
  <c r="J14" i="20" s="1"/>
  <c r="M9" i="2"/>
  <c r="E10" i="2"/>
  <c r="P10" i="2"/>
  <c r="AD10" i="2"/>
  <c r="L10" i="2" s="1"/>
  <c r="M10" i="2" s="1"/>
  <c r="H10" i="2"/>
  <c r="I10" i="2" s="1"/>
  <c r="D10" i="2"/>
  <c r="F9" i="2"/>
  <c r="H29" i="5"/>
  <c r="B11" i="2"/>
  <c r="B29" i="5"/>
  <c r="E29" i="5" s="1"/>
  <c r="C11" i="2" s="1"/>
  <c r="F29" i="5"/>
  <c r="A30" i="5"/>
  <c r="J30" i="5" s="1"/>
  <c r="C29" i="5"/>
  <c r="G8" i="2"/>
  <c r="B16" i="24"/>
  <c r="D16" i="24" s="1"/>
  <c r="A17" i="24"/>
  <c r="D90" i="30" l="1"/>
  <c r="D101" i="30" s="1"/>
  <c r="F90" i="30"/>
  <c r="F101" i="30" s="1"/>
  <c r="N43" i="25"/>
  <c r="D43" i="25"/>
  <c r="J27" i="25"/>
  <c r="E43" i="25"/>
  <c r="M43" i="25"/>
  <c r="D27" i="25"/>
  <c r="H43" i="25"/>
  <c r="L27" i="25"/>
  <c r="L43" i="25"/>
  <c r="E27" i="25"/>
  <c r="F43" i="25"/>
  <c r="N27" i="25"/>
  <c r="K43" i="25"/>
  <c r="H27" i="25"/>
  <c r="G43" i="25"/>
  <c r="G27" i="25"/>
  <c r="J43" i="25"/>
  <c r="K27" i="25"/>
  <c r="F27" i="25"/>
  <c r="K19" i="20"/>
  <c r="G66" i="7"/>
  <c r="F10" i="2"/>
  <c r="G10" i="2" s="1"/>
  <c r="T10" i="2"/>
  <c r="B17" i="24"/>
  <c r="D17" i="24" s="1"/>
  <c r="A18" i="24"/>
  <c r="P11" i="2"/>
  <c r="R11" i="2" s="1"/>
  <c r="S11" i="2" s="1"/>
  <c r="E11" i="2"/>
  <c r="T11" i="2" s="1"/>
  <c r="AD11" i="2"/>
  <c r="L11" i="2" s="1"/>
  <c r="M11" i="2" s="1"/>
  <c r="H11" i="2"/>
  <c r="I11" i="2" s="1"/>
  <c r="D11" i="2"/>
  <c r="G9" i="2"/>
  <c r="R10" i="2"/>
  <c r="S10" i="2" s="1"/>
  <c r="H30" i="5"/>
  <c r="C30" i="5"/>
  <c r="B30" i="5"/>
  <c r="E30" i="5" s="1"/>
  <c r="C12" i="2" s="1"/>
  <c r="B12" i="2"/>
  <c r="F30" i="5"/>
  <c r="A31" i="5"/>
  <c r="J31" i="5" s="1"/>
  <c r="E15" i="25" l="1"/>
  <c r="J9" i="2"/>
  <c r="K9" i="2" s="1"/>
  <c r="J5" i="2"/>
  <c r="K5" i="2" s="1"/>
  <c r="J10" i="2"/>
  <c r="K10" i="2" s="1"/>
  <c r="J7" i="2"/>
  <c r="K7" i="2" s="1"/>
  <c r="J8" i="2"/>
  <c r="K8" i="2" s="1"/>
  <c r="J6" i="2"/>
  <c r="K6" i="2" s="1"/>
  <c r="J4" i="2"/>
  <c r="K4" i="2" s="1"/>
  <c r="J11" i="2"/>
  <c r="K11" i="2" s="1"/>
  <c r="N12" i="2"/>
  <c r="N11" i="2"/>
  <c r="Q11" i="2" s="1"/>
  <c r="N10" i="2"/>
  <c r="O10" i="2" s="1"/>
  <c r="N9" i="2"/>
  <c r="Q9" i="2" s="1"/>
  <c r="N8" i="2"/>
  <c r="Q8" i="2" s="1"/>
  <c r="N7" i="2"/>
  <c r="O7" i="2" s="1"/>
  <c r="N6" i="2"/>
  <c r="U6" i="2" s="1"/>
  <c r="V6" i="2" s="1"/>
  <c r="R23" i="25"/>
  <c r="B31" i="5"/>
  <c r="E31" i="5" s="1"/>
  <c r="C13" i="2" s="1"/>
  <c r="J12" i="2" s="1"/>
  <c r="K12" i="2" s="1"/>
  <c r="B13" i="2"/>
  <c r="N13" i="2" s="1"/>
  <c r="H31" i="5"/>
  <c r="A32" i="5"/>
  <c r="J32" i="5" s="1"/>
  <c r="C31" i="5"/>
  <c r="F31" i="5"/>
  <c r="E12" i="2"/>
  <c r="P12" i="2"/>
  <c r="R12" i="2" s="1"/>
  <c r="S12" i="2" s="1"/>
  <c r="H12" i="2"/>
  <c r="I12" i="2" s="1"/>
  <c r="AD12" i="2"/>
  <c r="L12" i="2" s="1"/>
  <c r="D12" i="2"/>
  <c r="F11" i="2"/>
  <c r="A19" i="24"/>
  <c r="B18" i="24"/>
  <c r="D18" i="24" s="1"/>
  <c r="AB4" i="2" l="1"/>
  <c r="AA4" i="2" s="1"/>
  <c r="AB5" i="2"/>
  <c r="AA5" i="2" s="1"/>
  <c r="U8" i="2"/>
  <c r="W8" i="2" s="1"/>
  <c r="X8" i="2" s="1"/>
  <c r="O8" i="2"/>
  <c r="W6" i="2"/>
  <c r="Y6" i="2" s="1"/>
  <c r="U9" i="2"/>
  <c r="W9" i="2" s="1"/>
  <c r="X9" i="2" s="1"/>
  <c r="O6" i="2"/>
  <c r="Q10" i="2"/>
  <c r="U7" i="2"/>
  <c r="W7" i="2" s="1"/>
  <c r="X7" i="2" s="1"/>
  <c r="U10" i="2"/>
  <c r="W10" i="2" s="1"/>
  <c r="X10" i="2" s="1"/>
  <c r="O11" i="2"/>
  <c r="O9" i="2"/>
  <c r="Q7" i="2"/>
  <c r="F12" i="2"/>
  <c r="T12" i="2"/>
  <c r="M12" i="2"/>
  <c r="G11" i="2"/>
  <c r="U11" i="2"/>
  <c r="O12" i="2"/>
  <c r="Q12" i="2"/>
  <c r="D13" i="2"/>
  <c r="P13" i="2"/>
  <c r="E13" i="2"/>
  <c r="T13" i="2" s="1"/>
  <c r="H13" i="2"/>
  <c r="I13" i="2" s="1"/>
  <c r="AD13" i="2"/>
  <c r="L13" i="2" s="1"/>
  <c r="M13" i="2" s="1"/>
  <c r="F32" i="5"/>
  <c r="H32" i="5"/>
  <c r="G121" i="7"/>
  <c r="H121" i="7" s="1"/>
  <c r="I121" i="7" s="1"/>
  <c r="G122" i="7"/>
  <c r="H122" i="7" s="1"/>
  <c r="I122" i="7" s="1"/>
  <c r="G119" i="7"/>
  <c r="H119" i="7" s="1"/>
  <c r="B14" i="2"/>
  <c r="N14" i="2" s="1"/>
  <c r="A33" i="5"/>
  <c r="J33" i="5" s="1"/>
  <c r="B32" i="5"/>
  <c r="E32" i="5" s="1"/>
  <c r="C14" i="2" s="1"/>
  <c r="J13" i="2" s="1"/>
  <c r="K13" i="2" s="1"/>
  <c r="G123" i="7"/>
  <c r="H123" i="7" s="1"/>
  <c r="I123" i="7" s="1"/>
  <c r="C32" i="5"/>
  <c r="G120" i="7"/>
  <c r="A20" i="24"/>
  <c r="B19" i="24"/>
  <c r="D19" i="24" s="1"/>
  <c r="AC4" i="2" l="1"/>
  <c r="AE4" i="2" s="1"/>
  <c r="E11" i="25"/>
  <c r="V8" i="2"/>
  <c r="Y8" i="2"/>
  <c r="AB8" i="2" s="1"/>
  <c r="AA8" i="2" s="1"/>
  <c r="G12" i="2"/>
  <c r="E10" i="25"/>
  <c r="X6" i="2"/>
  <c r="V9" i="2"/>
  <c r="Y9" i="2"/>
  <c r="Z9" i="2" s="1"/>
  <c r="Y10" i="2"/>
  <c r="AB10" i="2" s="1"/>
  <c r="AA10" i="2" s="1"/>
  <c r="Y7" i="2"/>
  <c r="AB7" i="2" s="1"/>
  <c r="AA7" i="2" s="1"/>
  <c r="V10" i="2"/>
  <c r="V7" i="2"/>
  <c r="U12" i="2"/>
  <c r="V12" i="2" s="1"/>
  <c r="AB6" i="2"/>
  <c r="AA6" i="2" s="1"/>
  <c r="Z6" i="2"/>
  <c r="Q13" i="2"/>
  <c r="F33" i="5"/>
  <c r="C33" i="5"/>
  <c r="A34" i="5"/>
  <c r="J34" i="5" s="1"/>
  <c r="B15" i="2"/>
  <c r="N15" i="2" s="1"/>
  <c r="B33" i="5"/>
  <c r="E33" i="5" s="1"/>
  <c r="C15" i="2" s="1"/>
  <c r="J14" i="2" s="1"/>
  <c r="K14" i="2" s="1"/>
  <c r="H33" i="5"/>
  <c r="E14" i="2"/>
  <c r="T14" i="2" s="1"/>
  <c r="AD14" i="2"/>
  <c r="L14" i="2" s="1"/>
  <c r="M14" i="2" s="1"/>
  <c r="H14" i="2"/>
  <c r="I14" i="2" s="1"/>
  <c r="P14" i="2"/>
  <c r="D14" i="2"/>
  <c r="I119" i="7"/>
  <c r="R13" i="2"/>
  <c r="S13" i="2" s="1"/>
  <c r="V11" i="2"/>
  <c r="W11" i="2"/>
  <c r="X11" i="2" s="1"/>
  <c r="B20" i="24"/>
  <c r="D20" i="24" s="1"/>
  <c r="A21" i="24"/>
  <c r="G124" i="7"/>
  <c r="H120" i="7"/>
  <c r="I120" i="7" s="1"/>
  <c r="F13" i="2"/>
  <c r="O13" i="2"/>
  <c r="G126" i="7" l="1"/>
  <c r="AC5" i="2"/>
  <c r="AE5" i="2" s="1"/>
  <c r="E13" i="25"/>
  <c r="E14" i="25" s="1"/>
  <c r="E16" i="25" s="1"/>
  <c r="Z8" i="2"/>
  <c r="Z10" i="2"/>
  <c r="AB9" i="2"/>
  <c r="AA9" i="2" s="1"/>
  <c r="Z7" i="2"/>
  <c r="W12" i="2"/>
  <c r="X12" i="2" s="1"/>
  <c r="E15" i="2"/>
  <c r="T15" i="2" s="1"/>
  <c r="P15" i="2"/>
  <c r="R15" i="2" s="1"/>
  <c r="S15" i="2" s="1"/>
  <c r="AD15" i="2"/>
  <c r="L15" i="2" s="1"/>
  <c r="M15" i="2" s="1"/>
  <c r="H15" i="2"/>
  <c r="I15" i="2" s="1"/>
  <c r="D15" i="2"/>
  <c r="Y11" i="2"/>
  <c r="H124" i="7"/>
  <c r="H126" i="7" s="1"/>
  <c r="F14" i="2"/>
  <c r="R14" i="2"/>
  <c r="S14" i="2" s="1"/>
  <c r="Q14" i="2"/>
  <c r="G13" i="2"/>
  <c r="U13" i="2"/>
  <c r="I124" i="7"/>
  <c r="I126" i="7" s="1"/>
  <c r="O14" i="2"/>
  <c r="B34" i="5"/>
  <c r="E34" i="5" s="1"/>
  <c r="C16" i="2" s="1"/>
  <c r="J15" i="2" s="1"/>
  <c r="K15" i="2" s="1"/>
  <c r="C34" i="5"/>
  <c r="H34" i="5"/>
  <c r="A35" i="5"/>
  <c r="J35" i="5" s="1"/>
  <c r="F34" i="5"/>
  <c r="B16" i="2"/>
  <c r="N16" i="2" s="1"/>
  <c r="B21" i="24"/>
  <c r="D21" i="24" s="1"/>
  <c r="A22" i="24"/>
  <c r="B7" i="30" l="1"/>
  <c r="AC6" i="2"/>
  <c r="AE6" i="2" s="1"/>
  <c r="Y12" i="2"/>
  <c r="AB12" i="2" s="1"/>
  <c r="AA12" i="2" s="1"/>
  <c r="H128" i="7"/>
  <c r="Z11" i="2"/>
  <c r="AB11" i="2"/>
  <c r="AA11" i="2" s="1"/>
  <c r="P16" i="2"/>
  <c r="E16" i="2"/>
  <c r="H16" i="2"/>
  <c r="I16" i="2" s="1"/>
  <c r="D16" i="2"/>
  <c r="AD16" i="2"/>
  <c r="L16" i="2" s="1"/>
  <c r="M16" i="2" s="1"/>
  <c r="V13" i="2"/>
  <c r="W13" i="2"/>
  <c r="X13" i="2" s="1"/>
  <c r="G14" i="2"/>
  <c r="U14" i="2"/>
  <c r="Q15" i="2"/>
  <c r="B35" i="5"/>
  <c r="E35" i="5" s="1"/>
  <c r="C17" i="2" s="1"/>
  <c r="J16" i="2" s="1"/>
  <c r="K16" i="2" s="1"/>
  <c r="C35" i="5"/>
  <c r="F35" i="5"/>
  <c r="A36" i="5"/>
  <c r="J36" i="5" s="1"/>
  <c r="B17" i="2"/>
  <c r="N17" i="2" s="1"/>
  <c r="H35" i="5"/>
  <c r="O15" i="2"/>
  <c r="A23" i="24"/>
  <c r="B22" i="24"/>
  <c r="D22" i="24" s="1"/>
  <c r="F15" i="2"/>
  <c r="AC7" i="2" l="1"/>
  <c r="AE7" i="2" s="1"/>
  <c r="Z12" i="2"/>
  <c r="F16" i="2"/>
  <c r="G16" i="2" s="1"/>
  <c r="T16" i="2"/>
  <c r="O16" i="2"/>
  <c r="Y13" i="2"/>
  <c r="Z13" i="2" s="1"/>
  <c r="E17" i="2"/>
  <c r="AD17" i="2"/>
  <c r="L17" i="2" s="1"/>
  <c r="M17" i="2" s="1"/>
  <c r="P17" i="2"/>
  <c r="H17" i="2"/>
  <c r="I17" i="2" s="1"/>
  <c r="D17" i="2"/>
  <c r="C36" i="5"/>
  <c r="H36" i="5"/>
  <c r="B18" i="2"/>
  <c r="N18" i="2" s="1"/>
  <c r="B36" i="5"/>
  <c r="E36" i="5" s="1"/>
  <c r="C18" i="2" s="1"/>
  <c r="J17" i="2" s="1"/>
  <c r="K17" i="2" s="1"/>
  <c r="F36" i="5"/>
  <c r="A37" i="5"/>
  <c r="J37" i="5" s="1"/>
  <c r="Q16" i="2"/>
  <c r="R16" i="2"/>
  <c r="S16" i="2" s="1"/>
  <c r="G15" i="2"/>
  <c r="U15" i="2"/>
  <c r="B23" i="24"/>
  <c r="D23" i="24" s="1"/>
  <c r="A24" i="24"/>
  <c r="V14" i="2"/>
  <c r="W14" i="2"/>
  <c r="X14" i="2" s="1"/>
  <c r="AC8" i="2" l="1"/>
  <c r="AE8" i="2" s="1"/>
  <c r="F17" i="2"/>
  <c r="G17" i="2" s="1"/>
  <c r="T17" i="2"/>
  <c r="O17" i="2"/>
  <c r="AB13" i="2"/>
  <c r="AA13" i="2" s="1"/>
  <c r="Q17" i="2"/>
  <c r="U16" i="2"/>
  <c r="V16" i="2" s="1"/>
  <c r="V15" i="2"/>
  <c r="W15" i="2"/>
  <c r="X15" i="2" s="1"/>
  <c r="R17" i="2"/>
  <c r="S17" i="2" s="1"/>
  <c r="AD18" i="2"/>
  <c r="L18" i="2" s="1"/>
  <c r="M18" i="2" s="1"/>
  <c r="D18" i="2"/>
  <c r="P18" i="2"/>
  <c r="H18" i="2"/>
  <c r="I18" i="2" s="1"/>
  <c r="E18" i="2"/>
  <c r="Y14" i="2"/>
  <c r="B37" i="5"/>
  <c r="E37" i="5" s="1"/>
  <c r="C19" i="2" s="1"/>
  <c r="J18" i="2" s="1"/>
  <c r="K18" i="2" s="1"/>
  <c r="H37" i="5"/>
  <c r="C37" i="5"/>
  <c r="B19" i="2"/>
  <c r="N19" i="2" s="1"/>
  <c r="F37" i="5"/>
  <c r="A38" i="5"/>
  <c r="J38" i="5" s="1"/>
  <c r="A25" i="24"/>
  <c r="B24" i="24"/>
  <c r="D24" i="24" s="1"/>
  <c r="AC9" i="2" l="1"/>
  <c r="AC10" i="2" s="1"/>
  <c r="AE10" i="2" s="1"/>
  <c r="F18" i="2"/>
  <c r="G18" i="2" s="1"/>
  <c r="T18" i="2"/>
  <c r="W16" i="2"/>
  <c r="X16" i="2" s="1"/>
  <c r="O18" i="2"/>
  <c r="Y15" i="2"/>
  <c r="Z15" i="2" s="1"/>
  <c r="Q18" i="2"/>
  <c r="E19" i="2"/>
  <c r="H19" i="2"/>
  <c r="I19" i="2" s="1"/>
  <c r="D19" i="2"/>
  <c r="P19" i="2"/>
  <c r="AD19" i="2"/>
  <c r="L19" i="2" s="1"/>
  <c r="M19" i="2" s="1"/>
  <c r="R18" i="2"/>
  <c r="S18" i="2" s="1"/>
  <c r="U17" i="2"/>
  <c r="Z14" i="2"/>
  <c r="AB14" i="2"/>
  <c r="AA14" i="2" s="1"/>
  <c r="B25" i="24"/>
  <c r="D25" i="24" s="1"/>
  <c r="A26" i="24"/>
  <c r="B20" i="2"/>
  <c r="N20" i="2" s="1"/>
  <c r="F38" i="5"/>
  <c r="B38" i="5"/>
  <c r="E38" i="5" s="1"/>
  <c r="C20" i="2" s="1"/>
  <c r="J19" i="2" s="1"/>
  <c r="K19" i="2" s="1"/>
  <c r="C38" i="5"/>
  <c r="A39" i="5"/>
  <c r="J39" i="5" s="1"/>
  <c r="H38" i="5"/>
  <c r="AC11" i="2" l="1"/>
  <c r="AC12" i="2" s="1"/>
  <c r="AE9" i="2"/>
  <c r="F19" i="2"/>
  <c r="G19" i="2" s="1"/>
  <c r="T19" i="2"/>
  <c r="AB15" i="2"/>
  <c r="AA15" i="2" s="1"/>
  <c r="Y16" i="2"/>
  <c r="Z16" i="2" s="1"/>
  <c r="U18" i="2"/>
  <c r="W18" i="2" s="1"/>
  <c r="X18" i="2" s="1"/>
  <c r="Q19" i="2"/>
  <c r="H20" i="2"/>
  <c r="I20" i="2" s="1"/>
  <c r="P20" i="2"/>
  <c r="R20" i="2" s="1"/>
  <c r="S20" i="2" s="1"/>
  <c r="AD20" i="2"/>
  <c r="L20" i="2" s="1"/>
  <c r="M20" i="2" s="1"/>
  <c r="D20" i="2"/>
  <c r="E20" i="2"/>
  <c r="V17" i="2"/>
  <c r="W17" i="2"/>
  <c r="X17" i="2" s="1"/>
  <c r="B26" i="24"/>
  <c r="D26" i="24" s="1"/>
  <c r="A27" i="24"/>
  <c r="O19" i="2"/>
  <c r="H39" i="5"/>
  <c r="A40" i="5"/>
  <c r="J40" i="5" s="1"/>
  <c r="F39" i="5"/>
  <c r="C39" i="5"/>
  <c r="B39" i="5"/>
  <c r="E39" i="5" s="1"/>
  <c r="C21" i="2" s="1"/>
  <c r="J20" i="2" s="1"/>
  <c r="K20" i="2" s="1"/>
  <c r="B21" i="2"/>
  <c r="N21" i="2" s="1"/>
  <c r="R19" i="2"/>
  <c r="S19" i="2" s="1"/>
  <c r="AE11" i="2" l="1"/>
  <c r="F20" i="2"/>
  <c r="G20" i="2" s="1"/>
  <c r="T20" i="2"/>
  <c r="AB16" i="2"/>
  <c r="AA16" i="2" s="1"/>
  <c r="V18" i="2"/>
  <c r="AE12" i="2"/>
  <c r="AC13" i="2"/>
  <c r="P21" i="2"/>
  <c r="R21" i="2" s="1"/>
  <c r="S21" i="2" s="1"/>
  <c r="H21" i="2"/>
  <c r="I21" i="2" s="1"/>
  <c r="E21" i="2"/>
  <c r="F21" i="2" s="1"/>
  <c r="G21" i="2" s="1"/>
  <c r="D21" i="2"/>
  <c r="AD21" i="2"/>
  <c r="L21" i="2" s="1"/>
  <c r="B27" i="24"/>
  <c r="D27" i="24" s="1"/>
  <c r="A28" i="24"/>
  <c r="U19" i="2"/>
  <c r="Y18" i="2"/>
  <c r="F40" i="5"/>
  <c r="B40" i="5"/>
  <c r="E40" i="5" s="1"/>
  <c r="C22" i="2" s="1"/>
  <c r="J21" i="2" s="1"/>
  <c r="K21" i="2" s="1"/>
  <c r="A41" i="5"/>
  <c r="J41" i="5" s="1"/>
  <c r="C40" i="5"/>
  <c r="B22" i="2"/>
  <c r="N22" i="2" s="1"/>
  <c r="H40" i="5"/>
  <c r="Q20" i="2"/>
  <c r="Y17" i="2"/>
  <c r="O20" i="2"/>
  <c r="M21" i="2" l="1"/>
  <c r="Q21" i="2"/>
  <c r="T21" i="2"/>
  <c r="U21" i="2" s="1"/>
  <c r="U20" i="2"/>
  <c r="V20" i="2" s="1"/>
  <c r="AC14" i="2"/>
  <c r="AE13" i="2"/>
  <c r="B41" i="5"/>
  <c r="E41" i="5" s="1"/>
  <c r="C23" i="2" s="1"/>
  <c r="J22" i="2" s="1"/>
  <c r="K22" i="2" s="1"/>
  <c r="B23" i="2"/>
  <c r="N23" i="2" s="1"/>
  <c r="H41" i="5"/>
  <c r="A42" i="5"/>
  <c r="J42" i="5" s="1"/>
  <c r="F41" i="5"/>
  <c r="C41" i="5"/>
  <c r="AD22" i="2"/>
  <c r="L22" i="2" s="1"/>
  <c r="M22" i="2" s="1"/>
  <c r="D22" i="2"/>
  <c r="H22" i="2"/>
  <c r="I22" i="2" s="1"/>
  <c r="E22" i="2"/>
  <c r="F22" i="2" s="1"/>
  <c r="G22" i="2" s="1"/>
  <c r="P22" i="2"/>
  <c r="R22" i="2" s="1"/>
  <c r="S22" i="2" s="1"/>
  <c r="AB18" i="2"/>
  <c r="AA18" i="2" s="1"/>
  <c r="Z18" i="2"/>
  <c r="O21" i="2"/>
  <c r="V19" i="2"/>
  <c r="W19" i="2"/>
  <c r="X19" i="2" s="1"/>
  <c r="Z17" i="2"/>
  <c r="AB17" i="2"/>
  <c r="AA17" i="2" s="1"/>
  <c r="A29" i="24"/>
  <c r="B28" i="24"/>
  <c r="D28" i="24" s="1"/>
  <c r="T22" i="2" l="1"/>
  <c r="U22" i="2" s="1"/>
  <c r="V21" i="2"/>
  <c r="W21" i="2"/>
  <c r="X21" i="2" s="1"/>
  <c r="Q22" i="2"/>
  <c r="W20" i="2"/>
  <c r="X20" i="2" s="1"/>
  <c r="AC15" i="2"/>
  <c r="AE14" i="2"/>
  <c r="C42" i="5"/>
  <c r="H42" i="5"/>
  <c r="B24" i="2"/>
  <c r="N24" i="2" s="1"/>
  <c r="B42" i="5"/>
  <c r="E42" i="5" s="1"/>
  <c r="C24" i="2" s="1"/>
  <c r="J23" i="2" s="1"/>
  <c r="K23" i="2" s="1"/>
  <c r="F42" i="5"/>
  <c r="A43" i="5"/>
  <c r="J43" i="5" s="1"/>
  <c r="Y19" i="2"/>
  <c r="H23" i="2"/>
  <c r="I23" i="2" s="1"/>
  <c r="AD23" i="2"/>
  <c r="L23" i="2" s="1"/>
  <c r="P23" i="2"/>
  <c r="D23" i="2"/>
  <c r="E23" i="2"/>
  <c r="F23" i="2" s="1"/>
  <c r="G23" i="2" s="1"/>
  <c r="O22" i="2"/>
  <c r="A30" i="24"/>
  <c r="B29" i="24"/>
  <c r="D29" i="24" s="1"/>
  <c r="T23" i="2" l="1"/>
  <c r="Q23" i="2"/>
  <c r="M23" i="2"/>
  <c r="R23" i="2"/>
  <c r="S23" i="2" s="1"/>
  <c r="V22" i="2"/>
  <c r="W22" i="2"/>
  <c r="X22" i="2" s="1"/>
  <c r="Y21" i="2"/>
  <c r="Y20" i="2"/>
  <c r="Z20" i="2" s="1"/>
  <c r="AC16" i="2"/>
  <c r="AE15" i="2"/>
  <c r="F43" i="5"/>
  <c r="B25" i="2"/>
  <c r="N25" i="2" s="1"/>
  <c r="B43" i="5"/>
  <c r="E43" i="5" s="1"/>
  <c r="C25" i="2" s="1"/>
  <c r="J24" i="2" s="1"/>
  <c r="K24" i="2" s="1"/>
  <c r="A44" i="5"/>
  <c r="J44" i="5" s="1"/>
  <c r="C43" i="5"/>
  <c r="H43" i="5"/>
  <c r="Z19" i="2"/>
  <c r="AB19" i="2"/>
  <c r="AA19" i="2" s="1"/>
  <c r="O23" i="2"/>
  <c r="P24" i="2"/>
  <c r="H24" i="2"/>
  <c r="I24" i="2" s="1"/>
  <c r="E24" i="2"/>
  <c r="F24" i="2" s="1"/>
  <c r="G24" i="2" s="1"/>
  <c r="AD24" i="2"/>
  <c r="L24" i="2" s="1"/>
  <c r="D24" i="2"/>
  <c r="A31" i="24"/>
  <c r="B30" i="24"/>
  <c r="D30" i="24" s="1"/>
  <c r="Y22" i="2" l="1"/>
  <c r="Z22" i="2" s="1"/>
  <c r="Q24" i="2"/>
  <c r="M24" i="2"/>
  <c r="Z21" i="2"/>
  <c r="AB21" i="2"/>
  <c r="T24" i="2"/>
  <c r="R24" i="2"/>
  <c r="S24" i="2" s="1"/>
  <c r="U23" i="2"/>
  <c r="AB20" i="2"/>
  <c r="AA20" i="2" s="1"/>
  <c r="AE16" i="2"/>
  <c r="AC17" i="2"/>
  <c r="B26" i="2"/>
  <c r="N26" i="2" s="1"/>
  <c r="C44" i="5"/>
  <c r="B44" i="5"/>
  <c r="E44" i="5" s="1"/>
  <c r="C26" i="2" s="1"/>
  <c r="J25" i="2" s="1"/>
  <c r="K25" i="2" s="1"/>
  <c r="H44" i="5"/>
  <c r="F44" i="5"/>
  <c r="A45" i="5"/>
  <c r="J45" i="5" s="1"/>
  <c r="O24" i="2"/>
  <c r="P25" i="2"/>
  <c r="AD25" i="2"/>
  <c r="L25" i="2" s="1"/>
  <c r="D25" i="2"/>
  <c r="H25" i="2"/>
  <c r="I25" i="2" s="1"/>
  <c r="E25" i="2"/>
  <c r="F25" i="2" s="1"/>
  <c r="G25" i="2" s="1"/>
  <c r="A32" i="24"/>
  <c r="B31" i="24"/>
  <c r="D31" i="24" s="1"/>
  <c r="AB22" i="2" l="1"/>
  <c r="AA22" i="2" s="1"/>
  <c r="T25" i="2"/>
  <c r="M25" i="2"/>
  <c r="V23" i="2"/>
  <c r="W23" i="2"/>
  <c r="X23" i="2" s="1"/>
  <c r="AA21" i="2"/>
  <c r="Q25" i="2"/>
  <c r="U24" i="2"/>
  <c r="R25" i="2"/>
  <c r="S25" i="2" s="1"/>
  <c r="AC18" i="2"/>
  <c r="AE17" i="2"/>
  <c r="O25" i="2"/>
  <c r="F45" i="5"/>
  <c r="B45" i="5"/>
  <c r="E45" i="5" s="1"/>
  <c r="C27" i="2" s="1"/>
  <c r="J26" i="2" s="1"/>
  <c r="K26" i="2" s="1"/>
  <c r="B27" i="2"/>
  <c r="N27" i="2" s="1"/>
  <c r="C45" i="5"/>
  <c r="H45" i="5"/>
  <c r="A46" i="5"/>
  <c r="J46" i="5" s="1"/>
  <c r="A33" i="24"/>
  <c r="B32" i="24"/>
  <c r="D32" i="24" s="1"/>
  <c r="E26" i="2"/>
  <c r="F26" i="2" s="1"/>
  <c r="G26" i="2" s="1"/>
  <c r="P26" i="2"/>
  <c r="R26" i="2" s="1"/>
  <c r="S26" i="2" s="1"/>
  <c r="AD26" i="2"/>
  <c r="L26" i="2" s="1"/>
  <c r="M26" i="2" s="1"/>
  <c r="D26" i="2"/>
  <c r="H26" i="2"/>
  <c r="I26" i="2" s="1"/>
  <c r="T26" i="2" l="1"/>
  <c r="U26" i="2" s="1"/>
  <c r="Y23" i="2"/>
  <c r="Z23" i="2" s="1"/>
  <c r="Q26" i="2"/>
  <c r="V24" i="2"/>
  <c r="W24" i="2"/>
  <c r="X24" i="2" s="1"/>
  <c r="U25" i="2"/>
  <c r="O26" i="2"/>
  <c r="AE18" i="2"/>
  <c r="AC19" i="2"/>
  <c r="B46" i="5"/>
  <c r="E46" i="5" s="1"/>
  <c r="C28" i="2" s="1"/>
  <c r="J27" i="2" s="1"/>
  <c r="K27" i="2" s="1"/>
  <c r="B28" i="2"/>
  <c r="N28" i="2" s="1"/>
  <c r="A47" i="5"/>
  <c r="J47" i="5" s="1"/>
  <c r="F46" i="5"/>
  <c r="H46" i="5"/>
  <c r="C46" i="5"/>
  <c r="D27" i="2"/>
  <c r="H27" i="2"/>
  <c r="I27" i="2" s="1"/>
  <c r="P27" i="2"/>
  <c r="AD27" i="2"/>
  <c r="L27" i="2" s="1"/>
  <c r="M27" i="2" s="1"/>
  <c r="E27" i="2"/>
  <c r="F27" i="2" s="1"/>
  <c r="G27" i="2" s="1"/>
  <c r="B33" i="24"/>
  <c r="D33" i="24" s="1"/>
  <c r="A34" i="24"/>
  <c r="A48" i="5" l="1"/>
  <c r="J48" i="5" s="1"/>
  <c r="F47" i="5"/>
  <c r="AB23" i="2"/>
  <c r="AA23" i="2" s="1"/>
  <c r="Q27" i="2"/>
  <c r="R27" i="2"/>
  <c r="S27" i="2" s="1"/>
  <c r="T27" i="2"/>
  <c r="V26" i="2"/>
  <c r="W26" i="2"/>
  <c r="X26" i="2" s="1"/>
  <c r="Y24" i="2"/>
  <c r="V25" i="2"/>
  <c r="W25" i="2"/>
  <c r="X25" i="2" s="1"/>
  <c r="AE19" i="2"/>
  <c r="AC20" i="2"/>
  <c r="O27" i="2"/>
  <c r="B29" i="2"/>
  <c r="N29" i="2" s="1"/>
  <c r="B47" i="5"/>
  <c r="E47" i="5" s="1"/>
  <c r="C29" i="2" s="1"/>
  <c r="J28" i="2" s="1"/>
  <c r="K28" i="2" s="1"/>
  <c r="H47" i="5"/>
  <c r="C47" i="5"/>
  <c r="B34" i="24"/>
  <c r="D34" i="24" s="1"/>
  <c r="A35" i="24"/>
  <c r="P28" i="2"/>
  <c r="AD28" i="2"/>
  <c r="L28" i="2" s="1"/>
  <c r="M28" i="2" s="1"/>
  <c r="D28" i="2"/>
  <c r="E28" i="2"/>
  <c r="F28" i="2" s="1"/>
  <c r="G28" i="2" s="1"/>
  <c r="H28" i="2"/>
  <c r="I28" i="2" s="1"/>
  <c r="H48" i="5" l="1"/>
  <c r="B48" i="5"/>
  <c r="E48" i="5" s="1"/>
  <c r="C30" i="2" s="1"/>
  <c r="C48" i="5"/>
  <c r="F48" i="5"/>
  <c r="A49" i="5"/>
  <c r="J49" i="5" s="1"/>
  <c r="B30" i="2"/>
  <c r="N30" i="2" s="1"/>
  <c r="Q28" i="2"/>
  <c r="U27" i="2"/>
  <c r="V27" i="2" s="1"/>
  <c r="R28" i="2"/>
  <c r="S28" i="2" s="1"/>
  <c r="T28" i="2"/>
  <c r="Y26" i="2"/>
  <c r="AE20" i="2"/>
  <c r="AC21" i="2"/>
  <c r="Y25" i="2"/>
  <c r="Z24" i="2"/>
  <c r="AB24" i="2"/>
  <c r="A36" i="24"/>
  <c r="B35" i="24"/>
  <c r="D35" i="24" s="1"/>
  <c r="O28" i="2"/>
  <c r="J29" i="2"/>
  <c r="K29" i="2" s="1"/>
  <c r="D29" i="2"/>
  <c r="H29" i="2"/>
  <c r="I29" i="2" s="1"/>
  <c r="E29" i="2"/>
  <c r="F29" i="2" s="1"/>
  <c r="G29" i="2" s="1"/>
  <c r="P29" i="2"/>
  <c r="AD29" i="2"/>
  <c r="L29" i="2" s="1"/>
  <c r="D30" i="2" l="1"/>
  <c r="AD30" i="2"/>
  <c r="L30" i="2" s="1"/>
  <c r="M30" i="2" s="1"/>
  <c r="P30" i="2"/>
  <c r="E30" i="2"/>
  <c r="F30" i="2" s="1"/>
  <c r="G30" i="2" s="1"/>
  <c r="H30" i="2"/>
  <c r="I30" i="2" s="1"/>
  <c r="B31" i="2"/>
  <c r="N31" i="2" s="1"/>
  <c r="B49" i="5"/>
  <c r="E49" i="5" s="1"/>
  <c r="C31" i="2" s="1"/>
  <c r="J30" i="2" s="1"/>
  <c r="K30" i="2" s="1"/>
  <c r="F49" i="5"/>
  <c r="A50" i="5"/>
  <c r="J50" i="5" s="1"/>
  <c r="H49" i="5"/>
  <c r="C49" i="5"/>
  <c r="U28" i="2"/>
  <c r="V28" i="2" s="1"/>
  <c r="Q29" i="2"/>
  <c r="R29" i="2"/>
  <c r="S29" i="2" s="1"/>
  <c r="W27" i="2"/>
  <c r="X27" i="2" s="1"/>
  <c r="T29" i="2"/>
  <c r="M29" i="2"/>
  <c r="Z26" i="2"/>
  <c r="AB26" i="2"/>
  <c r="AE21" i="2"/>
  <c r="AC22" i="2"/>
  <c r="AA24" i="2"/>
  <c r="Z25" i="2"/>
  <c r="AB25" i="2"/>
  <c r="B36" i="24"/>
  <c r="D36" i="24" s="1"/>
  <c r="A37" i="24"/>
  <c r="O29" i="2"/>
  <c r="Q30" i="2" l="1"/>
  <c r="O30" i="2"/>
  <c r="T30" i="2"/>
  <c r="P31" i="2"/>
  <c r="R31" i="2" s="1"/>
  <c r="S31" i="2" s="1"/>
  <c r="AD31" i="2"/>
  <c r="L31" i="2" s="1"/>
  <c r="E31" i="2"/>
  <c r="F31" i="2" s="1"/>
  <c r="G31" i="2" s="1"/>
  <c r="H31" i="2"/>
  <c r="I31" i="2" s="1"/>
  <c r="D31" i="2"/>
  <c r="H50" i="5"/>
  <c r="F50" i="5"/>
  <c r="B50" i="5"/>
  <c r="E50" i="5" s="1"/>
  <c r="C32" i="2" s="1"/>
  <c r="J31" i="2" s="1"/>
  <c r="K31" i="2" s="1"/>
  <c r="C50" i="5"/>
  <c r="A51" i="5"/>
  <c r="J51" i="5" s="1"/>
  <c r="B32" i="2"/>
  <c r="N32" i="2" s="1"/>
  <c r="R30" i="2"/>
  <c r="W28" i="2"/>
  <c r="X28" i="2" s="1"/>
  <c r="U29" i="2"/>
  <c r="V29" i="2" s="1"/>
  <c r="Y27" i="2"/>
  <c r="AA26" i="2"/>
  <c r="AE22" i="2"/>
  <c r="AC23" i="2"/>
  <c r="AA25" i="2"/>
  <c r="B37" i="24"/>
  <c r="D37" i="24" s="1"/>
  <c r="A38" i="24"/>
  <c r="M31" i="2" l="1"/>
  <c r="Q31" i="2"/>
  <c r="T31" i="2"/>
  <c r="U31" i="2" s="1"/>
  <c r="H32" i="2"/>
  <c r="I32" i="2" s="1"/>
  <c r="D32" i="2"/>
  <c r="P32" i="2"/>
  <c r="E32" i="2"/>
  <c r="F32" i="2" s="1"/>
  <c r="G32" i="2" s="1"/>
  <c r="AD32" i="2"/>
  <c r="L32" i="2" s="1"/>
  <c r="O31" i="2"/>
  <c r="S30" i="2"/>
  <c r="U30" i="2"/>
  <c r="A52" i="5"/>
  <c r="J52" i="5" s="1"/>
  <c r="F51" i="5"/>
  <c r="H51" i="5"/>
  <c r="C51" i="5"/>
  <c r="B51" i="5"/>
  <c r="E51" i="5" s="1"/>
  <c r="C33" i="2" s="1"/>
  <c r="J32" i="2" s="1"/>
  <c r="K32" i="2" s="1"/>
  <c r="B33" i="2"/>
  <c r="N33" i="2" s="1"/>
  <c r="Y28" i="2"/>
  <c r="Z28" i="2" s="1"/>
  <c r="W29" i="2"/>
  <c r="X29" i="2" s="1"/>
  <c r="AB27" i="2"/>
  <c r="AA27" i="2" s="1"/>
  <c r="Z27" i="2"/>
  <c r="AE23" i="2"/>
  <c r="AC24" i="2"/>
  <c r="A39" i="24"/>
  <c r="B38" i="24"/>
  <c r="D38" i="24" s="1"/>
  <c r="Y29" i="2" l="1"/>
  <c r="Z29" i="2" s="1"/>
  <c r="M32" i="2"/>
  <c r="V31" i="2"/>
  <c r="W31" i="2"/>
  <c r="X31" i="2" s="1"/>
  <c r="T32" i="2"/>
  <c r="O32" i="2"/>
  <c r="Q32" i="2"/>
  <c r="R32" i="2"/>
  <c r="S32" i="2" s="1"/>
  <c r="AB28" i="2"/>
  <c r="AA28" i="2" s="1"/>
  <c r="P33" i="2"/>
  <c r="R33" i="2" s="1"/>
  <c r="S33" i="2" s="1"/>
  <c r="H33" i="2"/>
  <c r="I33" i="2" s="1"/>
  <c r="D33" i="2"/>
  <c r="E33" i="2"/>
  <c r="F33" i="2" s="1"/>
  <c r="G33" i="2" s="1"/>
  <c r="AD33" i="2"/>
  <c r="L33" i="2" s="1"/>
  <c r="V30" i="2"/>
  <c r="W30" i="2"/>
  <c r="X30" i="2" s="1"/>
  <c r="H52" i="5"/>
  <c r="A53" i="5"/>
  <c r="J53" i="5" s="1"/>
  <c r="C52" i="5"/>
  <c r="B52" i="5"/>
  <c r="E52" i="5" s="1"/>
  <c r="C34" i="2" s="1"/>
  <c r="J33" i="2" s="1"/>
  <c r="K33" i="2" s="1"/>
  <c r="F52" i="5"/>
  <c r="B34" i="2"/>
  <c r="N34" i="2" s="1"/>
  <c r="AB29" i="2"/>
  <c r="AE24" i="2"/>
  <c r="AC25" i="2"/>
  <c r="B39" i="24"/>
  <c r="D39" i="24" s="1"/>
  <c r="A40" i="24"/>
  <c r="B40" i="24" s="1"/>
  <c r="D40" i="24" s="1"/>
  <c r="M33" i="2" l="1"/>
  <c r="T33" i="2"/>
  <c r="U33" i="2" s="1"/>
  <c r="Y31" i="2"/>
  <c r="U32" i="2"/>
  <c r="Q33" i="2"/>
  <c r="E34" i="2"/>
  <c r="F34" i="2" s="1"/>
  <c r="G34" i="2" s="1"/>
  <c r="D34" i="2"/>
  <c r="H34" i="2"/>
  <c r="I34" i="2" s="1"/>
  <c r="AD34" i="2"/>
  <c r="L34" i="2" s="1"/>
  <c r="M34" i="2" s="1"/>
  <c r="P34" i="2"/>
  <c r="R34" i="2" s="1"/>
  <c r="S34" i="2" s="1"/>
  <c r="C53" i="5"/>
  <c r="F53" i="5"/>
  <c r="B53" i="5"/>
  <c r="E53" i="5" s="1"/>
  <c r="C35" i="2" s="1"/>
  <c r="J34" i="2" s="1"/>
  <c r="K34" i="2" s="1"/>
  <c r="B35" i="2"/>
  <c r="N35" i="2" s="1"/>
  <c r="A54" i="5"/>
  <c r="J54" i="5" s="1"/>
  <c r="H53" i="5"/>
  <c r="Y30" i="2"/>
  <c r="O33" i="2"/>
  <c r="AE25" i="2"/>
  <c r="AC26" i="2"/>
  <c r="AA29" i="2"/>
  <c r="V33" i="2" l="1"/>
  <c r="W33" i="2"/>
  <c r="X33" i="2" s="1"/>
  <c r="T34" i="2"/>
  <c r="V32" i="2"/>
  <c r="W32" i="2"/>
  <c r="X32" i="2" s="1"/>
  <c r="Z31" i="2"/>
  <c r="AB31" i="2"/>
  <c r="U34" i="2"/>
  <c r="Q34" i="2"/>
  <c r="Z30" i="2"/>
  <c r="AB30" i="2"/>
  <c r="B36" i="2"/>
  <c r="N36" i="2" s="1"/>
  <c r="C54" i="5"/>
  <c r="F54" i="5"/>
  <c r="B54" i="5"/>
  <c r="E54" i="5" s="1"/>
  <c r="C36" i="2" s="1"/>
  <c r="J35" i="2" s="1"/>
  <c r="K35" i="2" s="1"/>
  <c r="A55" i="5"/>
  <c r="J55" i="5" s="1"/>
  <c r="H54" i="5"/>
  <c r="E35" i="2"/>
  <c r="F35" i="2" s="1"/>
  <c r="G35" i="2" s="1"/>
  <c r="D35" i="2"/>
  <c r="AD35" i="2"/>
  <c r="L35" i="2" s="1"/>
  <c r="M35" i="2" s="1"/>
  <c r="P35" i="2"/>
  <c r="H35" i="2"/>
  <c r="I35" i="2" s="1"/>
  <c r="O34" i="2"/>
  <c r="AE26" i="2"/>
  <c r="AC27" i="2"/>
  <c r="T35" i="2" l="1"/>
  <c r="Y32" i="2"/>
  <c r="AB32" i="2" s="1"/>
  <c r="Q35" i="2"/>
  <c r="V34" i="2"/>
  <c r="W34" i="2"/>
  <c r="X34" i="2" s="1"/>
  <c r="R35" i="2"/>
  <c r="Y33" i="2"/>
  <c r="AA31" i="2"/>
  <c r="A56" i="5"/>
  <c r="J56" i="5" s="1"/>
  <c r="C55" i="5"/>
  <c r="B55" i="5"/>
  <c r="E55" i="5" s="1"/>
  <c r="C37" i="2" s="1"/>
  <c r="J36" i="2" s="1"/>
  <c r="K36" i="2" s="1"/>
  <c r="H55" i="5"/>
  <c r="F55" i="5"/>
  <c r="B37" i="2"/>
  <c r="N37" i="2" s="1"/>
  <c r="O35" i="2"/>
  <c r="P36" i="2"/>
  <c r="R36" i="2" s="1"/>
  <c r="S36" i="2" s="1"/>
  <c r="H36" i="2"/>
  <c r="I36" i="2" s="1"/>
  <c r="AD36" i="2"/>
  <c r="L36" i="2" s="1"/>
  <c r="M36" i="2" s="1"/>
  <c r="E36" i="2"/>
  <c r="F36" i="2" s="1"/>
  <c r="G36" i="2" s="1"/>
  <c r="D36" i="2"/>
  <c r="AA30" i="2"/>
  <c r="AE27" i="2"/>
  <c r="AC28" i="2"/>
  <c r="Z32" i="2" l="1"/>
  <c r="Q36" i="2"/>
  <c r="T36" i="2"/>
  <c r="U36" i="2" s="1"/>
  <c r="Z33" i="2"/>
  <c r="AB33" i="2"/>
  <c r="Y34" i="2"/>
  <c r="AA32" i="2"/>
  <c r="S35" i="2"/>
  <c r="U35" i="2"/>
  <c r="H37" i="2"/>
  <c r="I37" i="2" s="1"/>
  <c r="L37" i="2"/>
  <c r="M37" i="2" s="1"/>
  <c r="P37" i="2"/>
  <c r="R37" i="2" s="1"/>
  <c r="S37" i="2" s="1"/>
  <c r="D37" i="2"/>
  <c r="AD37" i="2"/>
  <c r="E37" i="2"/>
  <c r="F37" i="2" s="1"/>
  <c r="G37" i="2" s="1"/>
  <c r="O36" i="2"/>
  <c r="H56" i="5"/>
  <c r="B56" i="5"/>
  <c r="E56" i="5" s="1"/>
  <c r="C38" i="2" s="1"/>
  <c r="J37" i="2" s="1"/>
  <c r="K37" i="2" s="1"/>
  <c r="F56" i="5"/>
  <c r="C56" i="5"/>
  <c r="B38" i="2"/>
  <c r="N38" i="2" s="1"/>
  <c r="AE28" i="2"/>
  <c r="AC29" i="2"/>
  <c r="T37" i="2" l="1"/>
  <c r="U37" i="2" s="1"/>
  <c r="Q37" i="2"/>
  <c r="V36" i="2"/>
  <c r="W36" i="2"/>
  <c r="X36" i="2" s="1"/>
  <c r="V35" i="2"/>
  <c r="W35" i="2"/>
  <c r="X35" i="2" s="1"/>
  <c r="Z34" i="2"/>
  <c r="AB34" i="2"/>
  <c r="AA33" i="2"/>
  <c r="O37" i="2"/>
  <c r="E38" i="2"/>
  <c r="F38" i="2" s="1"/>
  <c r="G38" i="2" s="1"/>
  <c r="J38" i="2"/>
  <c r="K38" i="2" s="1"/>
  <c r="P38" i="2"/>
  <c r="Q38" i="2" s="1"/>
  <c r="D38" i="2"/>
  <c r="H38" i="2"/>
  <c r="I38" i="2" s="1"/>
  <c r="AD38" i="2"/>
  <c r="L38" i="2" s="1"/>
  <c r="M38" i="2" s="1"/>
  <c r="AE29" i="2"/>
  <c r="AC30" i="2"/>
  <c r="T38" i="2" l="1"/>
  <c r="V37" i="2"/>
  <c r="W37" i="2"/>
  <c r="X37" i="2" s="1"/>
  <c r="R38" i="2"/>
  <c r="S38" i="2" s="1"/>
  <c r="Y36" i="2"/>
  <c r="AA34" i="2"/>
  <c r="Y35" i="2"/>
  <c r="AE30" i="2"/>
  <c r="AC31" i="2"/>
  <c r="O38" i="2"/>
  <c r="U38" i="2" l="1"/>
  <c r="V38" i="2" s="1"/>
  <c r="W38" i="2"/>
  <c r="X38" i="2" s="1"/>
  <c r="Y37" i="2"/>
  <c r="Z36" i="2"/>
  <c r="AB36" i="2"/>
  <c r="AE31" i="2"/>
  <c r="AC32" i="2"/>
  <c r="Z35" i="2"/>
  <c r="AB35" i="2"/>
  <c r="Y38" i="2" l="1"/>
  <c r="Z37" i="2"/>
  <c r="AB37" i="2"/>
  <c r="AA36" i="2"/>
  <c r="AE32" i="2"/>
  <c r="AC33" i="2"/>
  <c r="AA35" i="2"/>
  <c r="AA37" i="2" l="1"/>
  <c r="Z38" i="2"/>
  <c r="AB38" i="2"/>
  <c r="AE33" i="2"/>
  <c r="AC34" i="2"/>
  <c r="AA38" i="2" l="1"/>
  <c r="H3" i="25"/>
  <c r="I5" i="25"/>
  <c r="H5" i="25" s="1"/>
  <c r="C44" i="25" s="1"/>
  <c r="AE34" i="2"/>
  <c r="AC35" i="2"/>
  <c r="C28" i="25" l="1"/>
  <c r="C5" i="26"/>
  <c r="C19" i="26" s="1"/>
  <c r="AE35" i="2"/>
  <c r="AC36" i="2"/>
  <c r="AE36" i="2" l="1"/>
  <c r="AC37" i="2"/>
  <c r="AE37" i="2" l="1"/>
  <c r="AC38" i="2"/>
  <c r="AE38" i="2" s="1"/>
</calcChain>
</file>

<file path=xl/sharedStrings.xml><?xml version="1.0" encoding="utf-8"?>
<sst xmlns="http://schemas.openxmlformats.org/spreadsheetml/2006/main" count="648" uniqueCount="404">
  <si>
    <t>Capital Costs</t>
  </si>
  <si>
    <t>Total</t>
  </si>
  <si>
    <t>Year</t>
  </si>
  <si>
    <t>Sales</t>
  </si>
  <si>
    <t>Var Costs</t>
  </si>
  <si>
    <t>Fixed Costs</t>
  </si>
  <si>
    <t>Depreciation</t>
  </si>
  <si>
    <t>Net Earnings</t>
  </si>
  <si>
    <t>Price</t>
  </si>
  <si>
    <t>General Information</t>
  </si>
  <si>
    <t>Process Title:</t>
  </si>
  <si>
    <t>Plant Site Location:</t>
  </si>
  <si>
    <t>Product:</t>
  </si>
  <si>
    <t>Site Factor:</t>
  </si>
  <si>
    <t>Operating Hours per Year:</t>
  </si>
  <si>
    <t>Operating Days Per Year:</t>
  </si>
  <si>
    <t>Operating Factor:</t>
  </si>
  <si>
    <t>Product Information</t>
  </si>
  <si>
    <t>This Process will Yield</t>
  </si>
  <si>
    <t>Chronology</t>
  </si>
  <si>
    <t>Action</t>
  </si>
  <si>
    <t>Bare Module Cost</t>
  </si>
  <si>
    <t>Total Permanent Investment</t>
  </si>
  <si>
    <t>Cost of Site Preparations:</t>
  </si>
  <si>
    <t>Cost of Service Facilities:</t>
  </si>
  <si>
    <t>Cost of Plant Start-Up:</t>
  </si>
  <si>
    <t>Operations</t>
  </si>
  <si>
    <t>Operators per Shift:</t>
  </si>
  <si>
    <t>Direct Wages and Benefits:</t>
  </si>
  <si>
    <t>Direct Salaries and Benefits:</t>
  </si>
  <si>
    <t>Maintenance</t>
  </si>
  <si>
    <t>Salaries and Benefits:</t>
  </si>
  <si>
    <t>Materials and Services:</t>
  </si>
  <si>
    <t>Maintenance Overhead:</t>
  </si>
  <si>
    <t>Operating Overhead</t>
  </si>
  <si>
    <t>General Plant Overhead:</t>
  </si>
  <si>
    <t>Mechanical Department Services:</t>
  </si>
  <si>
    <t>Permanent Investment</t>
  </si>
  <si>
    <t>Distribution of</t>
  </si>
  <si>
    <t>Capacity</t>
  </si>
  <si>
    <t xml:space="preserve">Production </t>
  </si>
  <si>
    <t>Equipment Costs</t>
  </si>
  <si>
    <t>Equipment Description</t>
  </si>
  <si>
    <t>Variable Costs</t>
  </si>
  <si>
    <t>of Sales</t>
  </si>
  <si>
    <t>of Direct Wages and Benefits</t>
  </si>
  <si>
    <t>Wages and Benefits:</t>
  </si>
  <si>
    <t>of Total Depreciable Capital</t>
  </si>
  <si>
    <t>of Maintenance Wages and Benefits</t>
  </si>
  <si>
    <t>gal</t>
  </si>
  <si>
    <t>Variable Cost Summary</t>
  </si>
  <si>
    <t>General Expenses</t>
  </si>
  <si>
    <t>Total Variable Costs</t>
  </si>
  <si>
    <t>Fixed Cost Summary</t>
  </si>
  <si>
    <t>Direct Wages and Benefits</t>
  </si>
  <si>
    <t>Direct Salaries and Benefits</t>
  </si>
  <si>
    <t>Technical Assistance to Manufacturing</t>
  </si>
  <si>
    <t>Wages and Benefits</t>
  </si>
  <si>
    <t>Salaries and Benefits</t>
  </si>
  <si>
    <t>Materials and Services</t>
  </si>
  <si>
    <t>Maintenance Overhead</t>
  </si>
  <si>
    <t>Process Machinery</t>
  </si>
  <si>
    <t>Direct Permanent Investment</t>
  </si>
  <si>
    <t>Cost of Contingencies &amp; Contractor Fees</t>
  </si>
  <si>
    <t>Total Depreciable Capital</t>
  </si>
  <si>
    <t>Total Fixed Costs</t>
  </si>
  <si>
    <t>Cash Flow</t>
  </si>
  <si>
    <t>Name</t>
  </si>
  <si>
    <t>Total Costs</t>
  </si>
  <si>
    <t>Site Factor</t>
  </si>
  <si>
    <t>OR</t>
  </si>
  <si>
    <t xml:space="preserve">OR </t>
  </si>
  <si>
    <t>Days per Year</t>
  </si>
  <si>
    <t>Hours per Day</t>
  </si>
  <si>
    <t>Hours per Year</t>
  </si>
  <si>
    <t>Operating Factor</t>
  </si>
  <si>
    <t>Continuous Operation:</t>
  </si>
  <si>
    <t>Start Year</t>
  </si>
  <si>
    <t>Number of Years for Design</t>
  </si>
  <si>
    <t>Number of Years for Construction</t>
  </si>
  <si>
    <t>Number of Years for Production</t>
  </si>
  <si>
    <t>Total Number of Years for Project</t>
  </si>
  <si>
    <t>AND</t>
  </si>
  <si>
    <t>Production Capacity</t>
  </si>
  <si>
    <t>of Design Capacity</t>
  </si>
  <si>
    <t>Number of Shifts</t>
  </si>
  <si>
    <t>Start production at</t>
  </si>
  <si>
    <t>Years to achieve full capacity</t>
  </si>
  <si>
    <t>Income Tax Rate</t>
  </si>
  <si>
    <t>General Inflation Rate</t>
  </si>
  <si>
    <t>shifts)</t>
  </si>
  <si>
    <t>Operating Supplies and Services</t>
  </si>
  <si>
    <t>Operating Supplies and Services:</t>
  </si>
  <si>
    <t>Technical Assistance to Manufacturing:</t>
  </si>
  <si>
    <t>Control Laboratory:</t>
  </si>
  <si>
    <t>Employee Relations Department</t>
  </si>
  <si>
    <t>Business Services</t>
  </si>
  <si>
    <t>Property Taxes and Insurance</t>
  </si>
  <si>
    <t>Property Taxes and Insurance:</t>
  </si>
  <si>
    <t>Straight Line Depreciation</t>
  </si>
  <si>
    <t>Direct Plant:</t>
  </si>
  <si>
    <t>Allocated Plant:</t>
  </si>
  <si>
    <t>of Total Depreciable Capital, less</t>
  </si>
  <si>
    <t>times the Allocated Costs for Utility Plants and Related Facilities</t>
  </si>
  <si>
    <t>for Utility Plants and Related Facilities</t>
  </si>
  <si>
    <t>(assuming</t>
  </si>
  <si>
    <t>of</t>
  </si>
  <si>
    <t>Other Annual Expenses</t>
  </si>
  <si>
    <t>Licensing Fees:</t>
  </si>
  <si>
    <t>Miscellaneous:</t>
  </si>
  <si>
    <t>Depletion Allowance</t>
  </si>
  <si>
    <t>Annual Depletion Allowance:</t>
  </si>
  <si>
    <t>Rental Fees (Office and Laboratory Space):</t>
  </si>
  <si>
    <t xml:space="preserve">times the Allocated Costs </t>
  </si>
  <si>
    <t>Other Variable Costs</t>
  </si>
  <si>
    <t>Selling / Transfer Expenses:</t>
  </si>
  <si>
    <t>Direct Research:</t>
  </si>
  <si>
    <t>Allocated Research:</t>
  </si>
  <si>
    <t>Administrative Expense:</t>
  </si>
  <si>
    <t>Management Incentive Compensation:</t>
  </si>
  <si>
    <t>Working Capital</t>
  </si>
  <si>
    <t>Accounts Receivable</t>
  </si>
  <si>
    <t>a</t>
  </si>
  <si>
    <t>Accounts Payable</t>
  </si>
  <si>
    <t>General Expenses:</t>
  </si>
  <si>
    <t>Year:</t>
  </si>
  <si>
    <t>Allocated Costs for utility plants and related facilities:</t>
  </si>
  <si>
    <t>Cost of Contingencies and Contractor Fees:</t>
  </si>
  <si>
    <t>Cost of Land:</t>
  </si>
  <si>
    <t>Cost of Royalties:</t>
  </si>
  <si>
    <t>of Total Bare Module Costs</t>
  </si>
  <si>
    <t>of Direct Permanent Investment</t>
  </si>
  <si>
    <t>Purchase Cost</t>
  </si>
  <si>
    <t>Bare Module Factor</t>
  </si>
  <si>
    <t>(default 3.21 if blank)</t>
  </si>
  <si>
    <t>Type</t>
  </si>
  <si>
    <t>Fabricated Equipment</t>
  </si>
  <si>
    <t>Spares</t>
  </si>
  <si>
    <t>Storage</t>
  </si>
  <si>
    <t>Other Equipment</t>
  </si>
  <si>
    <t>Catalysts</t>
  </si>
  <si>
    <t>Computers, Software, Etc.</t>
  </si>
  <si>
    <t>ADDITIONAL EQUIPMENT</t>
  </si>
  <si>
    <t>Bare Module Factor Calculator:</t>
  </si>
  <si>
    <t>Use the tool below to calculate a particular bare module factor, then input in the required column to the left:</t>
  </si>
  <si>
    <t>(Note, if no bare module factor is entered, the default of 3.21 will be used)</t>
  </si>
  <si>
    <t>Cost of Installation Materials:</t>
  </si>
  <si>
    <t>Cost of Installation Labor:</t>
  </si>
  <si>
    <t>Cost for Freight, Insurances, and Taxes:</t>
  </si>
  <si>
    <t>Cost of Construction Overhead:</t>
  </si>
  <si>
    <t>Cost of Contractor Engineering Expenses:</t>
  </si>
  <si>
    <t>Total Derived Bare Module Factor:</t>
  </si>
  <si>
    <t>of Equipment Purchase Cost</t>
  </si>
  <si>
    <t>Days</t>
  </si>
  <si>
    <t>(must be whole number)</t>
  </si>
  <si>
    <t>Timeline:</t>
  </si>
  <si>
    <t>MACRS Depreciation Schedule:</t>
  </si>
  <si>
    <t>10 year</t>
  </si>
  <si>
    <t>5 year</t>
  </si>
  <si>
    <t>7 year</t>
  </si>
  <si>
    <t>15 year</t>
  </si>
  <si>
    <t>20 year</t>
  </si>
  <si>
    <t>Variable Cost Inflation Rate</t>
  </si>
  <si>
    <t>Fixed Cost Inflation Rate</t>
  </si>
  <si>
    <t>Depreciation Schedule</t>
  </si>
  <si>
    <t>Investment Summary</t>
  </si>
  <si>
    <t>Control Laboratory</t>
  </si>
  <si>
    <t>Employee Relations Department:</t>
  </si>
  <si>
    <t>Business Services:</t>
  </si>
  <si>
    <t>Product Information:</t>
  </si>
  <si>
    <t>Enter Product Units</t>
  </si>
  <si>
    <t>(i.e. lb, gram, gal, etc)</t>
  </si>
  <si>
    <t>Price Per Unit</t>
  </si>
  <si>
    <t>Number of units per:</t>
  </si>
  <si>
    <t>Day</t>
  </si>
  <si>
    <t>Hour</t>
  </si>
  <si>
    <t>Discrete Operation:</t>
  </si>
  <si>
    <t>lb</t>
  </si>
  <si>
    <t>Raw Materials</t>
  </si>
  <si>
    <t>Raw Material:</t>
  </si>
  <si>
    <t>Unit:</t>
  </si>
  <si>
    <t>Required Ratio</t>
  </si>
  <si>
    <t>Total Weighted Average:</t>
  </si>
  <si>
    <t>Cost of Raw Material:</t>
  </si>
  <si>
    <t>Product Unit Price</t>
  </si>
  <si>
    <t>Selling Price Worksheet</t>
  </si>
  <si>
    <t>Price to Be Used</t>
  </si>
  <si>
    <t>Calculated Unit Price</t>
  </si>
  <si>
    <t>Total General Expenses</t>
  </si>
  <si>
    <t>Utilities</t>
  </si>
  <si>
    <t>Variable Costs at 100% Capacity:</t>
  </si>
  <si>
    <t>Percent Capacity</t>
  </si>
  <si>
    <t>(default is first year of Construction, otherwise over-ride this year)</t>
  </si>
  <si>
    <t>Utility:</t>
  </si>
  <si>
    <t>Cooling Water</t>
  </si>
  <si>
    <t>High Pressure Steam</t>
  </si>
  <si>
    <t>Low Pressure Steam</t>
  </si>
  <si>
    <t>Process Water</t>
  </si>
  <si>
    <t>Electricity</t>
  </si>
  <si>
    <t>kWh</t>
  </si>
  <si>
    <t>Utility Cost</t>
  </si>
  <si>
    <t>(discount rate)</t>
  </si>
  <si>
    <t>Required Ratio:</t>
  </si>
  <si>
    <t>Taxes</t>
  </si>
  <si>
    <t>Cash Reserves</t>
  </si>
  <si>
    <t>Product Price</t>
  </si>
  <si>
    <t>Profitability Measures</t>
  </si>
  <si>
    <t>The Internal Rate of Return (IRR) for this project is</t>
  </si>
  <si>
    <t>ROI Analysis (Third Production Year)</t>
  </si>
  <si>
    <t>Annual Sales</t>
  </si>
  <si>
    <t>Annual Costs</t>
  </si>
  <si>
    <t>Income Tax</t>
  </si>
  <si>
    <t>Total Capital Investment</t>
  </si>
  <si>
    <t>ROI</t>
  </si>
  <si>
    <t>Sensitivity Analysis</t>
  </si>
  <si>
    <t>Base Year Product Cost</t>
  </si>
  <si>
    <t>Fixed Cost</t>
  </si>
  <si>
    <t>(must be filled-in!)</t>
  </si>
  <si>
    <t>(if multiple entries, "Operating Factor" is used)</t>
  </si>
  <si>
    <t>(cannot use Continuous AND Discrete.  If both entered, Discrete used by default)</t>
  </si>
  <si>
    <t>This worksheet is optional.  It may be used to adjust the product selling prices each year.  Your inputs</t>
  </si>
  <si>
    <t>for the product prices, adjusted using the inflation rates, are entered as default values.  To change,</t>
  </si>
  <si>
    <t>enter a price into the "Manual Input Price" column.</t>
  </si>
  <si>
    <t>Manual Input Price</t>
  </si>
  <si>
    <t>of Maintenance and Operations Wages and Benefits</t>
  </si>
  <si>
    <t>Total Operations</t>
  </si>
  <si>
    <t>Total Maintenance</t>
  </si>
  <si>
    <t>Total Operating Overhead</t>
  </si>
  <si>
    <t>Total Other Annual Expenses</t>
  </si>
  <si>
    <t>Total Direct Materials and Labor Costs</t>
  </si>
  <si>
    <t>Miscellaneous Installation Costs</t>
  </si>
  <si>
    <t>Material and Labor G&amp;A Overhead and Contractor Fees</t>
  </si>
  <si>
    <t>Contractor Engineering Costs</t>
  </si>
  <si>
    <t>Indirect Costs</t>
  </si>
  <si>
    <t>of Production Capacity</t>
  </si>
  <si>
    <t>Cash Reserves (excluding Raw Materials)</t>
  </si>
  <si>
    <t>Sensitivity Analyses</t>
  </si>
  <si>
    <t>Inflation</t>
  </si>
  <si>
    <t>xaxis</t>
  </si>
  <si>
    <t>yaxis</t>
  </si>
  <si>
    <t>Total Permanent Investment - Unadjusted</t>
  </si>
  <si>
    <t>Ratio to Product</t>
  </si>
  <si>
    <t>Cash Flow Summary</t>
  </si>
  <si>
    <t>(Note: The first 38 equipment items are displayed in the Input Summary tab.  Items listed below are included in calculating the total bare module cost.)</t>
  </si>
  <si>
    <t>Cost of Capital (for the NPV Calculation)</t>
  </si>
  <si>
    <t>Percentage of Design Capacity</t>
  </si>
  <si>
    <t>% of design capacity</t>
  </si>
  <si>
    <t>/operator hour</t>
  </si>
  <si>
    <t>(Specify ONE of the three.  If multiple entries, "Year" is used.)</t>
  </si>
  <si>
    <t>Vary Initial Value by +/-</t>
  </si>
  <si>
    <t>x-axis</t>
  </si>
  <si>
    <t>y-axis</t>
  </si>
  <si>
    <t>% of Total Permanent Investment</t>
  </si>
  <si>
    <t>APEA Inputs</t>
  </si>
  <si>
    <t>(Note: If both APEA and Equipment Costs are entered, APEA entries are used for calculations)</t>
  </si>
  <si>
    <t>You cannot enter values in the green tabs. However, you can enter values in the the other tabs, although not in every cell. This is to prevent undesired edits from the user.</t>
  </si>
  <si>
    <t xml:space="preserve">                                                 INTRODUCTION</t>
  </si>
  <si>
    <t>Different parameters can be entered for the evaluation of the project. One can also use parameters mentioned in Table 17.1. Equipment costs can be generated from APEA or the equations in Chapter 16 of the textbook. These two methods are mentioned in Chapter 17, Section 17.8.</t>
  </si>
  <si>
    <t>This Introduction provides brief guidlines for using the Profitability Analysis 4.0. Further and extensive details about each tab are provided in Section 17.8 of the textbook (4th Edition)</t>
  </si>
  <si>
    <t>Prepared by Brian K. Downey, Equity Research - US Royal Gas Exploration / Production, Sanford C. Bernstein &amp; Co., LLC</t>
  </si>
  <si>
    <t>Version</t>
  </si>
  <si>
    <t>Comments</t>
  </si>
  <si>
    <t>Last version by Brian Downey</t>
  </si>
  <si>
    <t>Revisions by Prof. Bruce Vrana (Penn) 2/4/23:</t>
  </si>
  <si>
    <t>Deleted APEA costs from the 4.0 version of the file, which were used by default unless deleted</t>
  </si>
  <si>
    <t>Changed default tax rate from 37% to 23% (Tax Cuts and Jobs Act of 2017, including average U.S. state rate)</t>
  </si>
  <si>
    <t>(Most U.S. plants have 4 shifts, but add cost of 5th shift for vacation relief)</t>
  </si>
  <si>
    <t>Added comment to number of shifts to explain why 5 shifts should be used, on General Input tab</t>
  </si>
  <si>
    <t>Remove number of shifts from the calculation for Technical Assistance and Control Lab, to correctly reflect the text of cost per operator per shift</t>
  </si>
  <si>
    <t>Change start year to 2023</t>
  </si>
  <si>
    <t>Added comment that the Inflation sensitivity does not modify other inflation rates that might be input</t>
  </si>
  <si>
    <t>Fixed depletion allowance formula to use correct cell as an absolute reference (E37 on Fixed Costs tab) on the Cash Flows tab</t>
  </si>
  <si>
    <t>Total Depreciable Capital - Unadjusted</t>
  </si>
  <si>
    <t>On Cost Summary tab, include site factor in total depreciable capital calculation on cost summary tab, include Sensitivity variable in TDC, revise TPI so as not to double-count Sensitivity and so that tax depreciation uses site factor</t>
  </si>
  <si>
    <t>On Profitability Measures tab, subtract land from book depreciation, include site factor on land and on allocated utilities investment</t>
  </si>
  <si>
    <t>Users may enter comments on this sheet, which is unprotected</t>
  </si>
  <si>
    <t>Add an unprotected tab for users to enter comments or documentation</t>
  </si>
  <si>
    <t>Revisions by Prof. Bruce Vrana (Penn) 12/23:</t>
  </si>
  <si>
    <t>Lock some cells to avoid error messages</t>
  </si>
  <si>
    <t>Delete superfluous labels on Equipment Costs column H</t>
  </si>
  <si>
    <t>Change start year to 2024</t>
  </si>
  <si>
    <t>per year, for each engineer (including benefits and overheads)</t>
  </si>
  <si>
    <t>Technical Assistance (number):</t>
  </si>
  <si>
    <t>Control Laboratory professionals (number):</t>
  </si>
  <si>
    <t>per year, for each lab professional (including benefits, overheads and lab supplies)</t>
  </si>
  <si>
    <t>Revised inputs for technical assistance and control lab to be number of people and cost per person, not cost per operator per shift (more relatable)</t>
  </si>
  <si>
    <t>Changed formatting of bare module factor in additional equipment table</t>
  </si>
  <si>
    <t>(limited to 35 years)</t>
  </si>
  <si>
    <t>Extended depreciation table reference 3 rows so we can use the maximum number of years</t>
  </si>
  <si>
    <t>Stated limits on number of years for overall project (35)</t>
  </si>
  <si>
    <t>Extended input summary chronology table to maximum number of years</t>
  </si>
  <si>
    <t>Changed default values for general inflation rate, direct research, inventory, contingency, startup, maintenance</t>
  </si>
  <si>
    <t>One time cost:</t>
  </si>
  <si>
    <t>Year for the cost:</t>
  </si>
  <si>
    <t>Additional One-Time Cost</t>
  </si>
  <si>
    <t>Additional One-Time Cost in year</t>
  </si>
  <si>
    <t>Added one-time cost to handle up-front R&amp;D for example</t>
  </si>
  <si>
    <t>Running Royalty</t>
  </si>
  <si>
    <t>Cost</t>
  </si>
  <si>
    <t>Added running royalty (in addition to capex royalty)</t>
  </si>
  <si>
    <t>Royalty, typically for intellectual property, per unit of production</t>
  </si>
  <si>
    <t>IRR Sensitivity</t>
  </si>
  <si>
    <t>NPV Sensitivity</t>
  </si>
  <si>
    <t>Added NPV sensitivity table</t>
  </si>
  <si>
    <t>Deleted text in sensitivity table about automatic calculations being turned off (obsolete)</t>
  </si>
  <si>
    <t>Individual inflation rates override the general inflation rate, if any</t>
  </si>
  <si>
    <t>of them are input.  Consider using an equation of the general</t>
  </si>
  <si>
    <t>inflation rate plus or minus whateverdifference is desired.</t>
  </si>
  <si>
    <t>Note that the Inflation sensitivity is only the general inflation rate.  If other inflation rates are also input (selling price, for example), they do not change in the sensitivity analysis unless they are equations that depend on the general inflation rate</t>
  </si>
  <si>
    <t>Selling Price Inflation Rate</t>
  </si>
  <si>
    <t>Minor numeric formatting changes</t>
  </si>
  <si>
    <t>One-Time Cost</t>
  </si>
  <si>
    <t>Fix typo - taxible</t>
  </si>
  <si>
    <t>Taxable Income</t>
  </si>
  <si>
    <t>Variable Cost</t>
  </si>
  <si>
    <t>Consumption</t>
  </si>
  <si>
    <t>Raw Materials Subtotal</t>
  </si>
  <si>
    <t>Coproducts</t>
  </si>
  <si>
    <t>Coproduct:</t>
  </si>
  <si>
    <t>Coproduct Selling Price (positive value for salable product, negative value for "waste")</t>
  </si>
  <si>
    <t>Coproducts Subtotal</t>
  </si>
  <si>
    <t>Revisions by Prof. Bruce Vrana (Penn) 3/24:</t>
  </si>
  <si>
    <t>Change numeric formats on cost items to not use custom format with scientific notation for values, since wastes have negative value</t>
  </si>
  <si>
    <t>Utilities Subtotal</t>
  </si>
  <si>
    <t>Total Variable Cost</t>
  </si>
  <si>
    <t>Cost/(Credit)</t>
  </si>
  <si>
    <t>Operations Subtotal</t>
  </si>
  <si>
    <t>Maintenance Subtotal</t>
  </si>
  <si>
    <t>General Plant Overhead</t>
  </si>
  <si>
    <t>Mechanical Department Services</t>
  </si>
  <si>
    <t>Depreciation (Straight-Line)</t>
  </si>
  <si>
    <t>Other Annual Costs</t>
  </si>
  <si>
    <t>Rental Fees (Office and Laboratory Space)</t>
  </si>
  <si>
    <t>Licensing Fees</t>
  </si>
  <si>
    <t>Miscellaneous</t>
  </si>
  <si>
    <t>Total Cost of Manufacture</t>
  </si>
  <si>
    <t>Operating Overhead Subtotal</t>
  </si>
  <si>
    <t>Change the value of 1.18 for allocated investment to be 1+contingency as it is intended, since default contingency is now 20%</t>
  </si>
  <si>
    <t>Selling, Administrative and R&amp;D Costs</t>
  </si>
  <si>
    <t>Selling / Transfer Expenses</t>
  </si>
  <si>
    <t>Direct Research</t>
  </si>
  <si>
    <t>Allocated Research</t>
  </si>
  <si>
    <t>Administrative Expense</t>
  </si>
  <si>
    <t>Management Incentive Compensation</t>
  </si>
  <si>
    <t>Total Cost of Goods Sold</t>
  </si>
  <si>
    <t>Design Capacity</t>
  </si>
  <si>
    <t>Production Rate</t>
  </si>
  <si>
    <t>Change "byproduct" to "coproduct", clarify positive price for salable product, negative price for waste, include a default coproduct and waste</t>
  </si>
  <si>
    <t>Coproduct:1</t>
  </si>
  <si>
    <t>Waste1</t>
  </si>
  <si>
    <t>Revised by Prof. Bruce Vrana, UPenn, Version 7, 3/24</t>
  </si>
  <si>
    <t>Cost/year</t>
  </si>
  <si>
    <t>Other Annual Costs Subtotal</t>
  </si>
  <si>
    <t>Selling, Admin and R&amp;D Costs Subtotal</t>
  </si>
  <si>
    <t>Net Working Capital</t>
  </si>
  <si>
    <t>Revise a few cell formats</t>
  </si>
  <si>
    <t>Add a new sheet for Detailed Cost Sheet - allowing formatting of rows so that unused rows can be hidden manually (no way to do that automatically except VBA)</t>
  </si>
  <si>
    <t>Detailed Cost Sheet at Full Production Rate, Ignoring Inflation</t>
  </si>
  <si>
    <t>tonnes</t>
  </si>
  <si>
    <t>Direct Lithium Extraction from Oilfield Brine</t>
  </si>
  <si>
    <t>Smackover Formation</t>
  </si>
  <si>
    <t>H2SO4</t>
  </si>
  <si>
    <t>kg</t>
  </si>
  <si>
    <t>NH3</t>
  </si>
  <si>
    <t>APS</t>
  </si>
  <si>
    <t>Centrifuge 1</t>
  </si>
  <si>
    <t>Centrifuge 2</t>
  </si>
  <si>
    <t>Lithium</t>
  </si>
  <si>
    <t>Conveyor</t>
  </si>
  <si>
    <t>Agitator</t>
  </si>
  <si>
    <t>F-1</t>
  </si>
  <si>
    <t>F-2</t>
  </si>
  <si>
    <t>F-4</t>
  </si>
  <si>
    <t>F-3</t>
  </si>
  <si>
    <t>HX-1</t>
  </si>
  <si>
    <t>HX-2</t>
  </si>
  <si>
    <t>HX-3</t>
  </si>
  <si>
    <t>HX-4</t>
  </si>
  <si>
    <t>P-2</t>
  </si>
  <si>
    <t>P-3</t>
  </si>
  <si>
    <t>P-4</t>
  </si>
  <si>
    <t>P-5</t>
  </si>
  <si>
    <t>P-1</t>
  </si>
  <si>
    <t>P-6</t>
  </si>
  <si>
    <t>P-7</t>
  </si>
  <si>
    <t>P-8</t>
  </si>
  <si>
    <t>P-9</t>
  </si>
  <si>
    <t>P-10</t>
  </si>
  <si>
    <t>Refridgeration</t>
  </si>
  <si>
    <t>ton-day</t>
  </si>
  <si>
    <t>A-1</t>
  </si>
  <si>
    <t>A-2</t>
  </si>
  <si>
    <t>A-3</t>
  </si>
  <si>
    <t>A-5</t>
  </si>
  <si>
    <t>A-4</t>
  </si>
  <si>
    <t>A-6</t>
  </si>
  <si>
    <t>ST-1</t>
  </si>
  <si>
    <t>ST-2</t>
  </si>
  <si>
    <t>ST-3</t>
  </si>
  <si>
    <t>ST-4</t>
  </si>
  <si>
    <t>ST-5</t>
  </si>
  <si>
    <t>SM-1</t>
  </si>
  <si>
    <t>AC-1</t>
  </si>
  <si>
    <t>P-11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</si>
</sst>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
    <numFmt numFmtId="167" formatCode="0.0000"/>
    <numFmt numFmtId="168" formatCode="&quot;$&quot;#,##0"/>
    <numFmt numFmtId="169" formatCode="&quot;$&quot;#,##0.00"/>
    <numFmt numFmtId="170" formatCode=";;;"/>
    <numFmt numFmtId="171" formatCode="[&lt;=0.1]#.00%;[&lt;=500]&quot;$&quot;#0.00;&quot;$&quot;#,##0"/>
    <numFmt numFmtId="172" formatCode="[&gt;=0.01]&quot;$&quot;0.000;[&lt;0.01]&quot;$&quot;0.000E+00"/>
    <numFmt numFmtId="173" formatCode="#;#;\-"/>
    <numFmt numFmtId="174" formatCode="0.000"/>
    <numFmt numFmtId="175" formatCode="&quot;$&quot;#,##0.000"/>
  </numFmts>
  <fonts count="32">
    <font>
      <sz val="11"/>
      <color theme="1"/>
      <name val="Calibri"/>
      <family val="2"/>
      <scheme val="minor"/>
    </font>
    <font>
      <b/>
      <sz val="12"/>
      <name val="Arial Narrow"/>
      <family val="2"/>
    </font>
    <font>
      <sz val="10"/>
      <name val="Arial Narrow"/>
      <family val="2"/>
    </font>
    <font>
      <b/>
      <u/>
      <sz val="10"/>
      <name val="Arial Narrow"/>
      <family val="2"/>
    </font>
    <font>
      <b/>
      <sz val="10"/>
      <name val="Arial Narrow"/>
      <family val="2"/>
    </font>
    <font>
      <sz val="10"/>
      <name val="Wingdings 3"/>
      <family val="1"/>
    </font>
    <font>
      <u/>
      <sz val="10"/>
      <name val="Arial Narrow"/>
      <family val="2"/>
    </font>
    <font>
      <i/>
      <sz val="10"/>
      <name val="Arial Narrow"/>
      <family val="2"/>
    </font>
    <font>
      <sz val="11"/>
      <color theme="1"/>
      <name val="Calibri"/>
      <family val="2"/>
      <scheme val="minor"/>
    </font>
    <font>
      <b/>
      <sz val="10"/>
      <color theme="1"/>
      <name val="Arial Narrow"/>
      <family val="2"/>
    </font>
    <font>
      <sz val="10"/>
      <color theme="1"/>
      <name val="Arial Narrow"/>
      <family val="2"/>
    </font>
    <font>
      <b/>
      <u/>
      <sz val="10"/>
      <color theme="1"/>
      <name val="Arial Narrow"/>
      <family val="2"/>
    </font>
    <font>
      <b/>
      <i/>
      <u/>
      <sz val="10"/>
      <color theme="1"/>
      <name val="Arial Narrow"/>
      <family val="2"/>
    </font>
    <font>
      <i/>
      <sz val="10"/>
      <color theme="1"/>
      <name val="Arial Narrow"/>
      <family val="2"/>
    </font>
    <font>
      <b/>
      <u/>
      <sz val="12"/>
      <color theme="1"/>
      <name val="Arial Narrow"/>
      <family val="2"/>
    </font>
    <font>
      <i/>
      <sz val="12"/>
      <color theme="1"/>
      <name val="Arial Narrow"/>
      <family val="2"/>
    </font>
    <font>
      <b/>
      <sz val="12"/>
      <color theme="1"/>
      <name val="Arial Narrow"/>
      <family val="2"/>
    </font>
    <font>
      <sz val="16"/>
      <color theme="1"/>
      <name val="Arial Narrow"/>
      <family val="2"/>
    </font>
    <font>
      <sz val="11"/>
      <color theme="1"/>
      <name val="Arial Narrow"/>
      <family val="2"/>
    </font>
    <font>
      <sz val="10"/>
      <color theme="0"/>
      <name val="Arial Narrow"/>
      <family val="2"/>
    </font>
    <font>
      <b/>
      <i/>
      <sz val="10"/>
      <color theme="1"/>
      <name val="Arial Narrow"/>
      <family val="2"/>
    </font>
    <font>
      <b/>
      <u val="singleAccounting"/>
      <sz val="10"/>
      <color theme="1"/>
      <name val="Arial Narrow"/>
      <family val="2"/>
    </font>
    <font>
      <sz val="12"/>
      <color theme="1"/>
      <name val="Arial Narrow"/>
      <family val="2"/>
    </font>
    <font>
      <sz val="10"/>
      <color rgb="FFFF0000"/>
      <name val="Arial Narrow"/>
      <family val="2"/>
    </font>
    <font>
      <b/>
      <u/>
      <sz val="10"/>
      <color rgb="FFFF0000"/>
      <name val="Arial Narrow"/>
      <family val="2"/>
    </font>
    <font>
      <i/>
      <sz val="11"/>
      <color theme="1"/>
      <name val="Calibri"/>
      <family val="2"/>
      <scheme val="minor"/>
    </font>
    <font>
      <b/>
      <sz val="10"/>
      <color rgb="FFFF0000"/>
      <name val="Arial Narrow"/>
      <family val="2"/>
    </font>
    <font>
      <sz val="11"/>
      <color theme="1"/>
      <name val="Times New Roman"/>
      <family val="1"/>
    </font>
    <font>
      <sz val="16"/>
      <color rgb="FF000000"/>
      <name val="Times New Roman"/>
      <family val="1"/>
    </font>
    <font>
      <sz val="16"/>
      <color theme="1"/>
      <name val="Times New Roman"/>
      <family val="1"/>
    </font>
    <font>
      <sz val="11"/>
      <color rgb="FF000000"/>
      <name val="Times New Roman"/>
      <family val="1"/>
    </font>
    <font>
      <sz val="10"/>
      <color theme="1"/>
      <name val="Arial"/>
      <family val="2"/>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6">
    <border>
      <left/>
      <right/>
      <top/>
      <bottom/>
      <diagonal/>
    </border>
    <border>
      <left/>
      <right/>
      <top style="thin">
        <color indexed="64"/>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bottom/>
      <diagonal/>
    </border>
  </borders>
  <cellStyleXfs count="4">
    <xf numFmtId="0" fontId="0" fillId="0" borderId="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cellStyleXfs>
  <cellXfs count="219">
    <xf numFmtId="0" fontId="0" fillId="0" borderId="0" xfId="0"/>
    <xf numFmtId="0" fontId="0" fillId="0" borderId="0" xfId="0" applyAlignment="1">
      <alignment horizontal="center"/>
    </xf>
    <xf numFmtId="0" fontId="1" fillId="0" borderId="1" xfId="0" applyFont="1" applyBorder="1" applyProtection="1">
      <protection hidden="1"/>
    </xf>
    <xf numFmtId="0" fontId="2" fillId="0" borderId="1" xfId="0" applyFont="1" applyBorder="1" applyProtection="1">
      <protection hidden="1"/>
    </xf>
    <xf numFmtId="170" fontId="2" fillId="0" borderId="0" xfId="0" applyNumberFormat="1" applyFont="1" applyProtection="1">
      <protection hidden="1"/>
    </xf>
    <xf numFmtId="0" fontId="2" fillId="0" borderId="0" xfId="0" applyFont="1" applyProtection="1">
      <protection hidden="1"/>
    </xf>
    <xf numFmtId="0" fontId="3" fillId="0" borderId="0" xfId="0" applyFont="1" applyProtection="1">
      <protection hidden="1"/>
    </xf>
    <xf numFmtId="0" fontId="2" fillId="0" borderId="0" xfId="0" applyFont="1" applyAlignment="1" applyProtection="1">
      <alignment horizontal="right"/>
      <protection hidden="1"/>
    </xf>
    <xf numFmtId="0" fontId="4" fillId="0" borderId="0" xfId="2" applyNumberFormat="1" applyFont="1" applyFill="1" applyAlignment="1" applyProtection="1">
      <alignment horizontal="right"/>
      <protection hidden="1"/>
    </xf>
    <xf numFmtId="0" fontId="9" fillId="0" borderId="2" xfId="0" applyFont="1" applyBorder="1"/>
    <xf numFmtId="0" fontId="10" fillId="0" borderId="0" xfId="0" applyFont="1"/>
    <xf numFmtId="0" fontId="11" fillId="0" borderId="0" xfId="0" applyFont="1"/>
    <xf numFmtId="0" fontId="10" fillId="0" borderId="0" xfId="0" applyFont="1" applyAlignment="1">
      <alignment horizontal="right"/>
    </xf>
    <xf numFmtId="0" fontId="10" fillId="0" borderId="0" xfId="0" quotePrefix="1" applyFont="1"/>
    <xf numFmtId="9" fontId="10" fillId="0" borderId="0" xfId="0" applyNumberFormat="1" applyFont="1"/>
    <xf numFmtId="10" fontId="10" fillId="0" borderId="0" xfId="0" applyNumberFormat="1" applyFont="1"/>
    <xf numFmtId="0" fontId="10" fillId="0" borderId="0" xfId="0" applyFont="1" applyAlignment="1">
      <alignment horizontal="left"/>
    </xf>
    <xf numFmtId="0" fontId="10" fillId="0" borderId="3" xfId="0" applyFont="1" applyBorder="1"/>
    <xf numFmtId="0" fontId="9" fillId="0" borderId="0" xfId="0" applyFont="1"/>
    <xf numFmtId="3" fontId="10" fillId="0" borderId="0" xfId="0" applyNumberFormat="1" applyFont="1"/>
    <xf numFmtId="0" fontId="5" fillId="0" borderId="0" xfId="0" applyFont="1" applyAlignment="1" applyProtection="1">
      <alignment horizontal="right"/>
      <protection hidden="1"/>
    </xf>
    <xf numFmtId="0" fontId="4" fillId="0" borderId="0" xfId="0" applyFont="1" applyProtection="1">
      <protection hidden="1"/>
    </xf>
    <xf numFmtId="0" fontId="6" fillId="0" borderId="0" xfId="0" applyFont="1" applyAlignment="1" applyProtection="1">
      <alignment horizontal="right"/>
      <protection hidden="1"/>
    </xf>
    <xf numFmtId="10" fontId="4" fillId="0" borderId="0" xfId="0" applyNumberFormat="1" applyFont="1" applyProtection="1">
      <protection hidden="1"/>
    </xf>
    <xf numFmtId="6" fontId="4" fillId="0" borderId="0" xfId="0" applyNumberFormat="1" applyFont="1" applyProtection="1">
      <protection hidden="1"/>
    </xf>
    <xf numFmtId="0" fontId="9" fillId="0" borderId="2" xfId="0" applyFont="1" applyBorder="1" applyAlignment="1">
      <alignment horizontal="center"/>
    </xf>
    <xf numFmtId="0" fontId="10" fillId="0" borderId="0" xfId="0" applyFont="1" applyAlignment="1">
      <alignment horizontal="center"/>
    </xf>
    <xf numFmtId="0" fontId="11" fillId="0" borderId="0" xfId="0" applyFont="1" applyAlignment="1">
      <alignment horizontal="center"/>
    </xf>
    <xf numFmtId="3" fontId="10" fillId="0" borderId="0" xfId="0" applyNumberFormat="1" applyFont="1" applyAlignment="1">
      <alignment horizontal="center"/>
    </xf>
    <xf numFmtId="3" fontId="12" fillId="0" borderId="0" xfId="0" applyNumberFormat="1" applyFont="1" applyAlignment="1">
      <alignment horizontal="center" shrinkToFit="1"/>
    </xf>
    <xf numFmtId="0" fontId="13" fillId="0" borderId="0" xfId="0" applyFont="1"/>
    <xf numFmtId="0" fontId="13" fillId="0" borderId="0" xfId="0" applyFont="1" applyAlignment="1">
      <alignment horizontal="center"/>
    </xf>
    <xf numFmtId="0" fontId="9" fillId="0" borderId="0" xfId="0" applyFont="1" applyAlignment="1">
      <alignment horizontal="center"/>
    </xf>
    <xf numFmtId="0" fontId="14" fillId="0" borderId="0" xfId="0" applyFont="1"/>
    <xf numFmtId="0" fontId="15" fillId="0" borderId="0" xfId="0" applyFont="1"/>
    <xf numFmtId="0" fontId="10" fillId="0" borderId="3" xfId="0" applyFont="1" applyBorder="1" applyAlignment="1">
      <alignment horizontal="right"/>
    </xf>
    <xf numFmtId="2" fontId="12" fillId="0" borderId="0" xfId="0" applyNumberFormat="1" applyFont="1"/>
    <xf numFmtId="0" fontId="16" fillId="0" borderId="2" xfId="0" applyFont="1" applyBorder="1"/>
    <xf numFmtId="10" fontId="4" fillId="0" borderId="0" xfId="2" applyNumberFormat="1" applyFont="1" applyFill="1" applyAlignment="1" applyProtection="1">
      <alignment horizontal="right"/>
      <protection hidden="1"/>
    </xf>
    <xf numFmtId="8" fontId="10" fillId="0" borderId="0" xfId="0" applyNumberFormat="1" applyFont="1" applyAlignment="1">
      <alignment horizontal="center"/>
    </xf>
    <xf numFmtId="168" fontId="10" fillId="0" borderId="4" xfId="0" applyNumberFormat="1" applyFont="1" applyBorder="1" applyAlignment="1">
      <alignment horizontal="center"/>
    </xf>
    <xf numFmtId="8" fontId="2" fillId="0" borderId="0" xfId="0" applyNumberFormat="1" applyFont="1" applyProtection="1">
      <protection hidden="1"/>
    </xf>
    <xf numFmtId="0" fontId="17" fillId="0" borderId="2" xfId="0" applyFont="1" applyBorder="1"/>
    <xf numFmtId="0" fontId="17" fillId="0" borderId="0" xfId="0" applyFont="1"/>
    <xf numFmtId="0" fontId="18" fillId="0" borderId="0" xfId="0" applyFont="1"/>
    <xf numFmtId="7" fontId="10" fillId="0" borderId="0" xfId="2" applyNumberFormat="1" applyFont="1"/>
    <xf numFmtId="7" fontId="10" fillId="0" borderId="0" xfId="0" applyNumberFormat="1" applyFont="1"/>
    <xf numFmtId="10" fontId="19" fillId="0" borderId="0" xfId="0" applyNumberFormat="1" applyFont="1"/>
    <xf numFmtId="42" fontId="10" fillId="0" borderId="0" xfId="0" applyNumberFormat="1" applyFont="1"/>
    <xf numFmtId="0" fontId="10" fillId="0" borderId="0" xfId="0" applyFont="1" applyProtection="1">
      <protection locked="0"/>
    </xf>
    <xf numFmtId="0" fontId="10" fillId="0" borderId="0" xfId="0" applyFont="1" applyAlignment="1" applyProtection="1">
      <alignment horizontal="right"/>
      <protection locked="0"/>
    </xf>
    <xf numFmtId="0" fontId="20" fillId="0" borderId="0" xfId="0" applyFont="1" applyProtection="1">
      <protection locked="0"/>
    </xf>
    <xf numFmtId="0" fontId="11" fillId="0" borderId="0" xfId="0" applyFont="1" applyProtection="1">
      <protection locked="0"/>
    </xf>
    <xf numFmtId="2" fontId="10" fillId="0" borderId="0" xfId="0" applyNumberFormat="1" applyFont="1" applyProtection="1">
      <protection locked="0"/>
    </xf>
    <xf numFmtId="167" fontId="10" fillId="0" borderId="0" xfId="0" applyNumberFormat="1" applyFont="1" applyProtection="1">
      <protection locked="0"/>
    </xf>
    <xf numFmtId="0" fontId="20" fillId="0" borderId="3" xfId="0" applyFont="1" applyBorder="1" applyAlignment="1" applyProtection="1">
      <alignment horizontal="center"/>
      <protection locked="0"/>
    </xf>
    <xf numFmtId="0" fontId="20" fillId="0" borderId="0" xfId="0" applyFont="1" applyAlignment="1" applyProtection="1">
      <alignment horizontal="center"/>
      <protection locked="0"/>
    </xf>
    <xf numFmtId="10" fontId="10" fillId="0" borderId="0" xfId="0" applyNumberFormat="1" applyFont="1" applyAlignment="1" applyProtection="1">
      <alignment vertical="top" wrapText="1"/>
      <protection locked="0"/>
    </xf>
    <xf numFmtId="9" fontId="10" fillId="0" borderId="0" xfId="0" applyNumberFormat="1" applyFont="1" applyProtection="1">
      <protection locked="0"/>
    </xf>
    <xf numFmtId="0" fontId="13" fillId="0" borderId="0" xfId="0" applyFont="1" applyProtection="1">
      <protection locked="0"/>
    </xf>
    <xf numFmtId="164" fontId="10" fillId="0" borderId="0" xfId="1" applyNumberFormat="1" applyFont="1" applyProtection="1">
      <protection locked="0"/>
    </xf>
    <xf numFmtId="0" fontId="9" fillId="0" borderId="0" xfId="0" applyFont="1" applyProtection="1">
      <protection locked="0"/>
    </xf>
    <xf numFmtId="0" fontId="10" fillId="0" borderId="3" xfId="0" applyFont="1" applyBorder="1" applyProtection="1">
      <protection locked="0"/>
    </xf>
    <xf numFmtId="6" fontId="10" fillId="0" borderId="0" xfId="0" applyNumberFormat="1" applyFont="1" applyProtection="1">
      <protection locked="0"/>
    </xf>
    <xf numFmtId="10" fontId="10" fillId="0" borderId="0" xfId="0" applyNumberFormat="1" applyFont="1" applyProtection="1">
      <protection locked="0"/>
    </xf>
    <xf numFmtId="168" fontId="10" fillId="0" borderId="0" xfId="2" applyNumberFormat="1" applyFont="1" applyBorder="1" applyProtection="1">
      <protection locked="0"/>
    </xf>
    <xf numFmtId="0" fontId="4" fillId="0" borderId="0" xfId="0" applyFont="1" applyAlignment="1" applyProtection="1">
      <alignment horizontal="left"/>
      <protection locked="0"/>
    </xf>
    <xf numFmtId="10" fontId="2" fillId="0" borderId="0" xfId="0" applyNumberFormat="1" applyFont="1" applyProtection="1">
      <protection locked="0"/>
    </xf>
    <xf numFmtId="6" fontId="2" fillId="0" borderId="0" xfId="0" applyNumberFormat="1" applyFont="1" applyProtection="1">
      <protection locked="0"/>
    </xf>
    <xf numFmtId="0" fontId="0" fillId="0" borderId="0" xfId="0" applyProtection="1">
      <protection hidden="1"/>
    </xf>
    <xf numFmtId="10" fontId="2" fillId="0" borderId="0" xfId="2" applyNumberFormat="1" applyFont="1" applyFill="1" applyAlignment="1" applyProtection="1">
      <alignment horizontal="right"/>
      <protection locked="0"/>
    </xf>
    <xf numFmtId="0" fontId="4" fillId="0" borderId="0" xfId="0" applyFont="1" applyProtection="1">
      <protection locked="0"/>
    </xf>
    <xf numFmtId="8" fontId="10" fillId="0" borderId="0" xfId="0" applyNumberFormat="1" applyFont="1" applyAlignment="1" applyProtection="1">
      <alignment horizontal="center"/>
      <protection locked="0"/>
    </xf>
    <xf numFmtId="0" fontId="1" fillId="0" borderId="0" xfId="0" applyFont="1" applyProtection="1">
      <protection hidden="1"/>
    </xf>
    <xf numFmtId="6" fontId="2" fillId="0" borderId="0" xfId="0" applyNumberFormat="1" applyFont="1" applyProtection="1">
      <protection hidden="1"/>
    </xf>
    <xf numFmtId="0" fontId="13" fillId="0" borderId="0" xfId="0" applyFont="1" applyAlignment="1" applyProtection="1">
      <alignment horizontal="center"/>
      <protection locked="0"/>
    </xf>
    <xf numFmtId="168" fontId="10" fillId="0" borderId="0" xfId="0" applyNumberFormat="1" applyFont="1" applyAlignment="1" applyProtection="1">
      <alignment horizontal="center"/>
      <protection locked="0"/>
    </xf>
    <xf numFmtId="9" fontId="2" fillId="0" borderId="0" xfId="0" applyNumberFormat="1" applyFont="1" applyProtection="1">
      <protection locked="0" hidden="1"/>
    </xf>
    <xf numFmtId="168" fontId="10" fillId="0" borderId="0" xfId="0" applyNumberFormat="1" applyFont="1" applyAlignment="1">
      <alignment horizontal="center"/>
    </xf>
    <xf numFmtId="3" fontId="10" fillId="2" borderId="0" xfId="0" applyNumberFormat="1" applyFont="1" applyFill="1" applyProtection="1">
      <protection locked="0"/>
    </xf>
    <xf numFmtId="168" fontId="10" fillId="2" borderId="0" xfId="0" applyNumberFormat="1" applyFont="1" applyFill="1" applyAlignment="1" applyProtection="1">
      <alignment horizontal="center"/>
      <protection locked="0"/>
    </xf>
    <xf numFmtId="4" fontId="10" fillId="2" borderId="0" xfId="0" applyNumberFormat="1" applyFont="1" applyFill="1" applyAlignment="1" applyProtection="1">
      <alignment horizontal="center"/>
      <protection locked="0"/>
    </xf>
    <xf numFmtId="3" fontId="10" fillId="0" borderId="0" xfId="0" applyNumberFormat="1" applyFont="1" applyProtection="1">
      <protection locked="0"/>
    </xf>
    <xf numFmtId="4" fontId="10" fillId="0" borderId="0" xfId="0" applyNumberFormat="1" applyFont="1" applyAlignment="1" applyProtection="1">
      <alignment horizontal="center"/>
      <protection locked="0"/>
    </xf>
    <xf numFmtId="9" fontId="9" fillId="0" borderId="0" xfId="0" applyNumberFormat="1" applyFont="1" applyProtection="1">
      <protection locked="0"/>
    </xf>
    <xf numFmtId="9" fontId="9" fillId="0" borderId="3" xfId="0" applyNumberFormat="1" applyFont="1" applyBorder="1" applyProtection="1">
      <protection locked="0"/>
    </xf>
    <xf numFmtId="0" fontId="9" fillId="0" borderId="2" xfId="0" applyFont="1" applyBorder="1" applyProtection="1">
      <protection hidden="1"/>
    </xf>
    <xf numFmtId="0" fontId="10" fillId="0" borderId="0" xfId="0" applyFont="1" applyProtection="1">
      <protection hidden="1"/>
    </xf>
    <xf numFmtId="0" fontId="10" fillId="0" borderId="0" xfId="0" applyFont="1" applyAlignment="1" applyProtection="1">
      <alignment horizontal="right"/>
      <protection hidden="1"/>
    </xf>
    <xf numFmtId="0" fontId="9" fillId="0" borderId="0" xfId="0" applyFont="1" applyProtection="1">
      <protection hidden="1"/>
    </xf>
    <xf numFmtId="2" fontId="9" fillId="0" borderId="0" xfId="0" applyNumberFormat="1" applyFont="1" applyAlignment="1" applyProtection="1">
      <alignment horizontal="left"/>
      <protection hidden="1"/>
    </xf>
    <xf numFmtId="1" fontId="9" fillId="0" borderId="0" xfId="0" applyNumberFormat="1" applyFont="1" applyAlignment="1" applyProtection="1">
      <alignment horizontal="left"/>
      <protection hidden="1"/>
    </xf>
    <xf numFmtId="167" fontId="9" fillId="0" borderId="0" xfId="0" applyNumberFormat="1" applyFont="1" applyAlignment="1" applyProtection="1">
      <alignment horizontal="left"/>
      <protection hidden="1"/>
    </xf>
    <xf numFmtId="3" fontId="9" fillId="0" borderId="0" xfId="0" applyNumberFormat="1" applyFont="1" applyProtection="1">
      <protection hidden="1"/>
    </xf>
    <xf numFmtId="8" fontId="9" fillId="0" borderId="0" xfId="2" applyNumberFormat="1" applyFont="1" applyBorder="1" applyProtection="1">
      <protection hidden="1"/>
    </xf>
    <xf numFmtId="6" fontId="9" fillId="0" borderId="0" xfId="2" applyNumberFormat="1" applyFont="1" applyBorder="1" applyProtection="1">
      <protection hidden="1"/>
    </xf>
    <xf numFmtId="44" fontId="9" fillId="0" borderId="0" xfId="2" applyFont="1" applyBorder="1" applyProtection="1">
      <protection hidden="1"/>
    </xf>
    <xf numFmtId="3" fontId="10" fillId="0" borderId="0" xfId="0" applyNumberFormat="1" applyFont="1" applyProtection="1">
      <protection hidden="1"/>
    </xf>
    <xf numFmtId="0" fontId="11" fillId="0" borderId="0" xfId="0" applyFont="1" applyAlignment="1" applyProtection="1">
      <alignment horizontal="center"/>
      <protection hidden="1"/>
    </xf>
    <xf numFmtId="0" fontId="11" fillId="0" borderId="0" xfId="0" applyFont="1" applyProtection="1">
      <protection hidden="1"/>
    </xf>
    <xf numFmtId="166" fontId="10" fillId="0" borderId="0" xfId="3" applyNumberFormat="1" applyFont="1" applyFill="1" applyBorder="1" applyAlignment="1" applyProtection="1">
      <alignment horizontal="center"/>
      <protection hidden="1"/>
    </xf>
    <xf numFmtId="10" fontId="10" fillId="0" borderId="0" xfId="0" applyNumberFormat="1" applyFont="1" applyProtection="1">
      <protection hidden="1"/>
    </xf>
    <xf numFmtId="8" fontId="10" fillId="0" borderId="0" xfId="0" applyNumberFormat="1" applyFont="1" applyAlignment="1" applyProtection="1">
      <alignment horizontal="center"/>
      <protection hidden="1"/>
    </xf>
    <xf numFmtId="0" fontId="10" fillId="0" borderId="3" xfId="0" applyFont="1" applyBorder="1" applyProtection="1">
      <protection hidden="1"/>
    </xf>
    <xf numFmtId="168" fontId="10" fillId="0" borderId="0" xfId="0" applyNumberFormat="1" applyFont="1" applyAlignment="1" applyProtection="1">
      <alignment horizontal="right"/>
      <protection hidden="1"/>
    </xf>
    <xf numFmtId="168" fontId="10" fillId="0" borderId="0" xfId="0" applyNumberFormat="1" applyFont="1" applyAlignment="1" applyProtection="1">
      <alignment horizontal="center"/>
      <protection hidden="1"/>
    </xf>
    <xf numFmtId="168" fontId="12" fillId="0" borderId="0" xfId="0" applyNumberFormat="1" applyFont="1" applyAlignment="1" applyProtection="1">
      <alignment horizontal="right" shrinkToFit="1"/>
      <protection hidden="1"/>
    </xf>
    <xf numFmtId="172" fontId="10" fillId="0" borderId="0" xfId="0" applyNumberFormat="1" applyFont="1" applyProtection="1">
      <protection hidden="1"/>
    </xf>
    <xf numFmtId="169" fontId="10" fillId="0" borderId="0" xfId="0" applyNumberFormat="1" applyFont="1" applyProtection="1">
      <protection hidden="1"/>
    </xf>
    <xf numFmtId="169" fontId="10" fillId="0" borderId="3" xfId="0" applyNumberFormat="1" applyFont="1" applyBorder="1" applyProtection="1">
      <protection hidden="1"/>
    </xf>
    <xf numFmtId="172" fontId="10" fillId="0" borderId="3" xfId="0" applyNumberFormat="1" applyFont="1" applyBorder="1" applyProtection="1">
      <protection hidden="1"/>
    </xf>
    <xf numFmtId="6" fontId="9" fillId="0" borderId="0" xfId="0" applyNumberFormat="1" applyFont="1" applyProtection="1">
      <protection hidden="1"/>
    </xf>
    <xf numFmtId="0" fontId="9" fillId="0" borderId="0" xfId="0" quotePrefix="1" applyFont="1" applyProtection="1">
      <protection hidden="1"/>
    </xf>
    <xf numFmtId="9" fontId="9" fillId="0" borderId="0" xfId="0" applyNumberFormat="1" applyFont="1" applyProtection="1">
      <protection hidden="1"/>
    </xf>
    <xf numFmtId="10" fontId="9" fillId="0" borderId="0" xfId="0" applyNumberFormat="1" applyFont="1" applyProtection="1">
      <protection hidden="1"/>
    </xf>
    <xf numFmtId="9" fontId="10" fillId="0" borderId="0" xfId="0" applyNumberFormat="1" applyFont="1" applyProtection="1">
      <protection hidden="1"/>
    </xf>
    <xf numFmtId="0" fontId="9" fillId="0" borderId="0" xfId="0" applyFont="1" applyAlignment="1" applyProtection="1">
      <alignment horizontal="left"/>
      <protection hidden="1"/>
    </xf>
    <xf numFmtId="0" fontId="10" fillId="0" borderId="0" xfId="0" applyFont="1" applyAlignment="1" applyProtection="1">
      <alignment horizontal="left"/>
      <protection hidden="1"/>
    </xf>
    <xf numFmtId="168" fontId="9" fillId="0" borderId="0" xfId="2" applyNumberFormat="1" applyFont="1" applyBorder="1" applyProtection="1">
      <protection hidden="1"/>
    </xf>
    <xf numFmtId="0" fontId="10" fillId="0" borderId="2" xfId="0" applyFont="1" applyBorder="1" applyProtection="1">
      <protection hidden="1"/>
    </xf>
    <xf numFmtId="42" fontId="10" fillId="0" borderId="0" xfId="2" applyNumberFormat="1" applyFont="1" applyAlignment="1" applyProtection="1">
      <alignment horizontal="right"/>
      <protection hidden="1"/>
    </xf>
    <xf numFmtId="165" fontId="10" fillId="0" borderId="0" xfId="2" applyNumberFormat="1" applyFont="1" applyProtection="1">
      <protection hidden="1"/>
    </xf>
    <xf numFmtId="6" fontId="10" fillId="0" borderId="0" xfId="0" applyNumberFormat="1" applyFont="1" applyProtection="1">
      <protection hidden="1"/>
    </xf>
    <xf numFmtId="165" fontId="21" fillId="0" borderId="0" xfId="0" applyNumberFormat="1" applyFont="1" applyProtection="1">
      <protection hidden="1"/>
    </xf>
    <xf numFmtId="0" fontId="10" fillId="0" borderId="0" xfId="0" quotePrefix="1" applyFont="1" applyProtection="1">
      <protection hidden="1"/>
    </xf>
    <xf numFmtId="166" fontId="10" fillId="0" borderId="0" xfId="0" applyNumberFormat="1" applyFont="1" applyProtection="1">
      <protection hidden="1"/>
    </xf>
    <xf numFmtId="165" fontId="9" fillId="0" borderId="0" xfId="2" applyNumberFormat="1" applyFont="1" applyProtection="1">
      <protection hidden="1"/>
    </xf>
    <xf numFmtId="165" fontId="9" fillId="0" borderId="3" xfId="0" applyNumberFormat="1" applyFont="1" applyBorder="1" applyProtection="1">
      <protection hidden="1"/>
    </xf>
    <xf numFmtId="0" fontId="16" fillId="0" borderId="2" xfId="0" applyFont="1" applyBorder="1" applyProtection="1">
      <protection hidden="1"/>
    </xf>
    <xf numFmtId="0" fontId="22" fillId="0" borderId="0" xfId="0" applyFont="1" applyProtection="1">
      <protection hidden="1"/>
    </xf>
    <xf numFmtId="165" fontId="21" fillId="0" borderId="0" xfId="2" applyNumberFormat="1" applyFont="1" applyProtection="1">
      <protection hidden="1"/>
    </xf>
    <xf numFmtId="165" fontId="9" fillId="0" borderId="0" xfId="0" applyNumberFormat="1" applyFont="1" applyProtection="1">
      <protection hidden="1"/>
    </xf>
    <xf numFmtId="165" fontId="10" fillId="0" borderId="0" xfId="0" applyNumberFormat="1" applyFont="1" applyProtection="1">
      <protection hidden="1"/>
    </xf>
    <xf numFmtId="2" fontId="10" fillId="0" borderId="0" xfId="0" applyNumberFormat="1" applyFont="1" applyAlignment="1" applyProtection="1">
      <alignment horizontal="center"/>
      <protection hidden="1"/>
    </xf>
    <xf numFmtId="165" fontId="10" fillId="0" borderId="3" xfId="2" applyNumberFormat="1" applyFont="1" applyBorder="1" applyProtection="1">
      <protection hidden="1"/>
    </xf>
    <xf numFmtId="0" fontId="23" fillId="0" borderId="0" xfId="0" applyFont="1"/>
    <xf numFmtId="0" fontId="24" fillId="0" borderId="0" xfId="0" applyFont="1" applyAlignment="1">
      <alignment horizontal="center"/>
    </xf>
    <xf numFmtId="9" fontId="23" fillId="0" borderId="0" xfId="0" applyNumberFormat="1" applyFont="1" applyAlignment="1">
      <alignment horizontal="center"/>
    </xf>
    <xf numFmtId="9" fontId="10" fillId="0" borderId="0" xfId="3" applyFont="1" applyFill="1" applyAlignment="1">
      <alignment horizontal="center"/>
    </xf>
    <xf numFmtId="7" fontId="10" fillId="0" borderId="0" xfId="2" applyNumberFormat="1" applyFont="1" applyFill="1" applyBorder="1" applyAlignment="1">
      <alignment horizontal="center"/>
    </xf>
    <xf numFmtId="164" fontId="10" fillId="0" borderId="0" xfId="1" applyNumberFormat="1" applyFont="1" applyFill="1" applyBorder="1"/>
    <xf numFmtId="164" fontId="10" fillId="0" borderId="0" xfId="0" applyNumberFormat="1" applyFont="1"/>
    <xf numFmtId="0" fontId="25" fillId="0" borderId="0" xfId="0" applyFont="1"/>
    <xf numFmtId="0" fontId="13" fillId="0" borderId="0" xfId="0" applyFont="1" applyProtection="1">
      <protection hidden="1"/>
    </xf>
    <xf numFmtId="165" fontId="13" fillId="0" borderId="0" xfId="2" applyNumberFormat="1" applyFont="1" applyProtection="1">
      <protection hidden="1"/>
    </xf>
    <xf numFmtId="0" fontId="17" fillId="0" borderId="2" xfId="0" applyFont="1" applyBorder="1" applyProtection="1">
      <protection hidden="1"/>
    </xf>
    <xf numFmtId="0" fontId="17" fillId="0" borderId="0" xfId="0" applyFont="1" applyProtection="1">
      <protection hidden="1"/>
    </xf>
    <xf numFmtId="0" fontId="16" fillId="0" borderId="0" xfId="0" applyFont="1" applyProtection="1">
      <protection hidden="1"/>
    </xf>
    <xf numFmtId="165" fontId="19" fillId="0" borderId="0" xfId="2" applyNumberFormat="1" applyFont="1" applyProtection="1">
      <protection hidden="1"/>
    </xf>
    <xf numFmtId="8" fontId="10" fillId="0" borderId="0" xfId="0" applyNumberFormat="1" applyFont="1" applyProtection="1">
      <protection hidden="1"/>
    </xf>
    <xf numFmtId="164" fontId="9" fillId="0" borderId="0" xfId="1" applyNumberFormat="1" applyFont="1" applyBorder="1" applyProtection="1">
      <protection hidden="1"/>
    </xf>
    <xf numFmtId="164" fontId="9" fillId="0" borderId="3" xfId="1" applyNumberFormat="1" applyFont="1" applyBorder="1" applyProtection="1">
      <protection hidden="1"/>
    </xf>
    <xf numFmtId="164" fontId="9" fillId="0" borderId="2" xfId="1" applyNumberFormat="1" applyFont="1" applyBorder="1" applyProtection="1">
      <protection hidden="1"/>
    </xf>
    <xf numFmtId="10" fontId="9" fillId="0" borderId="0" xfId="3" applyNumberFormat="1" applyFont="1" applyBorder="1" applyProtection="1">
      <protection hidden="1"/>
    </xf>
    <xf numFmtId="164" fontId="10" fillId="0" borderId="0" xfId="1" applyNumberFormat="1" applyFont="1" applyBorder="1" applyProtection="1">
      <protection hidden="1"/>
    </xf>
    <xf numFmtId="0" fontId="7" fillId="0" borderId="0" xfId="0" applyFont="1" applyProtection="1">
      <protection locked="0" hidden="1"/>
    </xf>
    <xf numFmtId="0" fontId="10" fillId="0" borderId="0" xfId="0" applyFont="1" applyProtection="1">
      <protection locked="0" hidden="1"/>
    </xf>
    <xf numFmtId="10" fontId="19" fillId="0" borderId="0" xfId="0" applyNumberFormat="1" applyFont="1" applyProtection="1">
      <protection hidden="1"/>
    </xf>
    <xf numFmtId="10" fontId="19" fillId="0" borderId="0" xfId="0" applyNumberFormat="1" applyFont="1" applyProtection="1">
      <protection locked="0" hidden="1"/>
    </xf>
    <xf numFmtId="10" fontId="10" fillId="0" borderId="0" xfId="0" applyNumberFormat="1" applyFont="1" applyAlignment="1" applyProtection="1">
      <alignment horizontal="center"/>
      <protection hidden="1"/>
    </xf>
    <xf numFmtId="171" fontId="10" fillId="0" borderId="5" xfId="2" applyNumberFormat="1" applyFont="1" applyBorder="1" applyProtection="1">
      <protection hidden="1"/>
    </xf>
    <xf numFmtId="171" fontId="20" fillId="0" borderId="5" xfId="2" applyNumberFormat="1" applyFont="1" applyBorder="1" applyProtection="1">
      <protection hidden="1"/>
    </xf>
    <xf numFmtId="171" fontId="10" fillId="0" borderId="3" xfId="2" applyNumberFormat="1" applyFont="1" applyBorder="1" applyAlignment="1" applyProtection="1">
      <alignment horizontal="center"/>
      <protection hidden="1"/>
    </xf>
    <xf numFmtId="171" fontId="20" fillId="0" borderId="3" xfId="2" applyNumberFormat="1" applyFont="1" applyBorder="1" applyAlignment="1" applyProtection="1">
      <alignment horizontal="center"/>
      <protection hidden="1"/>
    </xf>
    <xf numFmtId="0" fontId="26" fillId="0" borderId="0" xfId="0" applyFont="1" applyProtection="1">
      <protection hidden="1"/>
    </xf>
    <xf numFmtId="0" fontId="27" fillId="3" borderId="0" xfId="0" applyFont="1" applyFill="1"/>
    <xf numFmtId="0" fontId="27" fillId="0" borderId="0" xfId="0" applyFont="1"/>
    <xf numFmtId="0" fontId="28" fillId="3" borderId="0" xfId="0" applyFont="1" applyFill="1"/>
    <xf numFmtId="0" fontId="29" fillId="3" borderId="0" xfId="0" applyFont="1" applyFill="1"/>
    <xf numFmtId="0" fontId="27" fillId="3" borderId="0" xfId="0" applyFont="1" applyFill="1" applyAlignment="1">
      <alignment horizontal="left" wrapText="1"/>
    </xf>
    <xf numFmtId="0" fontId="27" fillId="3" borderId="0" xfId="0" applyFont="1" applyFill="1" applyAlignment="1">
      <alignment horizontal="left"/>
    </xf>
    <xf numFmtId="0" fontId="30" fillId="3" borderId="0" xfId="0" applyFont="1" applyFill="1"/>
    <xf numFmtId="0" fontId="9" fillId="0" borderId="0" xfId="0" applyFont="1" applyAlignment="1" applyProtection="1">
      <alignment horizontal="center" vertical="center" textRotation="90"/>
      <protection locked="0" hidden="1"/>
    </xf>
    <xf numFmtId="2" fontId="10" fillId="0" borderId="0" xfId="0" applyNumberFormat="1" applyFont="1" applyProtection="1">
      <protection hidden="1"/>
    </xf>
    <xf numFmtId="168" fontId="10" fillId="2" borderId="0" xfId="0" applyNumberFormat="1" applyFont="1" applyFill="1" applyAlignment="1">
      <alignment horizontal="center"/>
    </xf>
    <xf numFmtId="1" fontId="10" fillId="0" borderId="0" xfId="0" applyNumberFormat="1" applyFont="1" applyProtection="1">
      <protection locked="0"/>
    </xf>
    <xf numFmtId="1" fontId="9" fillId="0" borderId="0" xfId="0" applyNumberFormat="1" applyFont="1" applyProtection="1">
      <protection hidden="1"/>
    </xf>
    <xf numFmtId="168" fontId="9" fillId="0" borderId="0" xfId="0" applyNumberFormat="1" applyFont="1" applyProtection="1">
      <protection hidden="1"/>
    </xf>
    <xf numFmtId="166" fontId="10" fillId="0" borderId="0" xfId="0" applyNumberFormat="1" applyFont="1" applyProtection="1">
      <protection locked="0"/>
    </xf>
    <xf numFmtId="1" fontId="10" fillId="0" borderId="0" xfId="2" applyNumberFormat="1" applyFont="1" applyBorder="1" applyProtection="1">
      <protection locked="0"/>
    </xf>
    <xf numFmtId="171" fontId="10" fillId="0" borderId="0" xfId="2" applyNumberFormat="1" applyFont="1" applyBorder="1" applyProtection="1">
      <protection hidden="1"/>
    </xf>
    <xf numFmtId="165" fontId="19" fillId="0" borderId="0" xfId="0" applyNumberFormat="1" applyFont="1" applyProtection="1">
      <protection hidden="1"/>
    </xf>
    <xf numFmtId="164" fontId="10" fillId="0" borderId="0" xfId="1" applyNumberFormat="1" applyFont="1" applyAlignment="1" applyProtection="1">
      <alignment horizontal="center"/>
      <protection hidden="1"/>
    </xf>
    <xf numFmtId="10" fontId="9" fillId="0" borderId="0" xfId="0" applyNumberFormat="1" applyFont="1" applyAlignment="1" applyProtection="1">
      <alignment horizontal="center"/>
      <protection hidden="1"/>
    </xf>
    <xf numFmtId="164" fontId="9" fillId="0" borderId="0" xfId="1" applyNumberFormat="1" applyFont="1" applyAlignment="1" applyProtection="1">
      <alignment horizontal="center"/>
      <protection hidden="1"/>
    </xf>
    <xf numFmtId="168" fontId="10" fillId="0" borderId="0" xfId="0" applyNumberFormat="1" applyFont="1" applyProtection="1">
      <protection locked="0"/>
    </xf>
    <xf numFmtId="42" fontId="10" fillId="0" borderId="0" xfId="0" applyNumberFormat="1" applyFont="1" applyProtection="1">
      <protection hidden="1"/>
    </xf>
    <xf numFmtId="173" fontId="10" fillId="0" borderId="0" xfId="0" applyNumberFormat="1" applyFont="1" applyProtection="1">
      <protection hidden="1"/>
    </xf>
    <xf numFmtId="10" fontId="10" fillId="0" borderId="0" xfId="0" applyNumberFormat="1" applyFont="1" applyAlignment="1" applyProtection="1">
      <alignment horizontal="right"/>
      <protection hidden="1"/>
    </xf>
    <xf numFmtId="174" fontId="10" fillId="0" borderId="0" xfId="0" applyNumberFormat="1" applyFont="1"/>
    <xf numFmtId="175" fontId="10" fillId="0" borderId="0" xfId="0" applyNumberFormat="1" applyFont="1"/>
    <xf numFmtId="175" fontId="10" fillId="0" borderId="0" xfId="0" applyNumberFormat="1" applyFont="1" applyProtection="1">
      <protection locked="0"/>
    </xf>
    <xf numFmtId="175" fontId="10" fillId="0" borderId="3" xfId="0" applyNumberFormat="1" applyFont="1" applyBorder="1" applyProtection="1">
      <protection locked="0"/>
    </xf>
    <xf numFmtId="175" fontId="10" fillId="0" borderId="0" xfId="0" applyNumberFormat="1" applyFont="1" applyProtection="1">
      <protection hidden="1"/>
    </xf>
    <xf numFmtId="175" fontId="10" fillId="0" borderId="3" xfId="0" applyNumberFormat="1" applyFont="1" applyBorder="1" applyProtection="1">
      <protection hidden="1"/>
    </xf>
    <xf numFmtId="175" fontId="10" fillId="0" borderId="0" xfId="0" applyNumberFormat="1" applyFont="1" applyAlignment="1">
      <alignment horizontal="right"/>
    </xf>
    <xf numFmtId="168" fontId="10" fillId="0" borderId="0" xfId="0" applyNumberFormat="1" applyFont="1"/>
    <xf numFmtId="2" fontId="10" fillId="0" borderId="0" xfId="0" applyNumberFormat="1" applyFont="1"/>
    <xf numFmtId="0" fontId="2" fillId="0" borderId="0" xfId="0" applyFont="1" applyAlignment="1" applyProtection="1">
      <alignment horizontal="left"/>
      <protection hidden="1"/>
    </xf>
    <xf numFmtId="175" fontId="9" fillId="0" borderId="0" xfId="0" applyNumberFormat="1" applyFont="1"/>
    <xf numFmtId="168" fontId="9" fillId="0" borderId="0" xfId="0" applyNumberFormat="1" applyFont="1"/>
    <xf numFmtId="0" fontId="31" fillId="0" borderId="0" xfId="0" applyFont="1" applyProtection="1">
      <protection locked="0"/>
    </xf>
    <xf numFmtId="9" fontId="10" fillId="0" borderId="0" xfId="3" applyFont="1" applyFill="1" applyBorder="1" applyAlignment="1" applyProtection="1">
      <alignment horizontal="center"/>
      <protection hidden="1"/>
    </xf>
    <xf numFmtId="3" fontId="11" fillId="0" borderId="4" xfId="0" applyNumberFormat="1" applyFont="1" applyBorder="1" applyAlignment="1" applyProtection="1">
      <alignment horizontal="center"/>
      <protection hidden="1"/>
    </xf>
    <xf numFmtId="0" fontId="11" fillId="0" borderId="0" xfId="0" applyFont="1" applyAlignment="1" applyProtection="1">
      <alignment horizontal="center"/>
      <protection hidden="1"/>
    </xf>
    <xf numFmtId="0" fontId="17" fillId="0" borderId="0" xfId="0" applyFont="1" applyAlignment="1">
      <alignment horizontal="center"/>
    </xf>
    <xf numFmtId="0" fontId="11" fillId="0" borderId="0" xfId="0" applyFont="1" applyAlignment="1">
      <alignment horizontal="center" wrapText="1"/>
    </xf>
    <xf numFmtId="0" fontId="10" fillId="0" borderId="3" xfId="0" applyFont="1" applyBorder="1" applyAlignment="1" applyProtection="1">
      <alignment horizontal="center"/>
      <protection hidden="1"/>
    </xf>
    <xf numFmtId="9" fontId="10" fillId="0" borderId="4" xfId="0" applyNumberFormat="1" applyFont="1" applyBorder="1" applyAlignment="1" applyProtection="1">
      <alignment horizontal="center"/>
      <protection locked="0"/>
    </xf>
    <xf numFmtId="0" fontId="10" fillId="0" borderId="4" xfId="0" applyFont="1" applyBorder="1" applyAlignment="1" applyProtection="1">
      <alignment horizontal="center"/>
      <protection locked="0"/>
    </xf>
    <xf numFmtId="9" fontId="10" fillId="0" borderId="0" xfId="0" applyNumberFormat="1" applyFont="1" applyAlignment="1" applyProtection="1">
      <alignment horizontal="center"/>
      <protection locked="0"/>
    </xf>
    <xf numFmtId="0" fontId="10" fillId="0" borderId="0" xfId="0" applyFont="1" applyAlignment="1" applyProtection="1">
      <alignment horizontal="center"/>
      <protection locked="0"/>
    </xf>
    <xf numFmtId="0" fontId="9" fillId="0" borderId="0" xfId="0" applyFont="1" applyAlignment="1" applyProtection="1">
      <alignment horizontal="center"/>
      <protection hidden="1"/>
    </xf>
    <xf numFmtId="0" fontId="9" fillId="0" borderId="0" xfId="0" applyFont="1" applyAlignment="1" applyProtection="1">
      <alignment horizontal="center" vertical="center" textRotation="90"/>
      <protection hidden="1"/>
    </xf>
    <xf numFmtId="0" fontId="11" fillId="0" borderId="0" xfId="0" applyFont="1" applyAlignment="1" applyProtection="1">
      <alignment horizontal="center"/>
      <protection locked="0" hidden="1"/>
    </xf>
    <xf numFmtId="0" fontId="9" fillId="0" borderId="0" xfId="0" applyFont="1" applyAlignment="1" applyProtection="1">
      <alignment horizontal="center"/>
      <protection locked="0" hidden="1"/>
    </xf>
    <xf numFmtId="0" fontId="9" fillId="0" borderId="0" xfId="0" applyFont="1" applyAlignment="1" applyProtection="1">
      <alignment horizontal="center" vertical="center" textRotation="90"/>
      <protection locked="0" hidden="1"/>
    </xf>
    <xf numFmtId="0" fontId="10" fillId="0" borderId="0" xfId="0" applyFont="1" applyAlignment="1">
      <alignment horizontal="right" vertical="center" textRotation="90"/>
    </xf>
    <xf numFmtId="0" fontId="16" fillId="0" borderId="0" xfId="0" applyFont="1" applyAlignment="1" applyProtection="1">
      <alignment horizontal="center"/>
      <protection locked="0"/>
    </xf>
  </cellXfs>
  <cellStyles count="4">
    <cellStyle name="Comma" xfId="1" builtinId="3"/>
    <cellStyle name="Currency" xfId="2" builtinId="4"/>
    <cellStyle name="Normal" xfId="0" builtinId="0"/>
    <cellStyle name="Percent" xfId="3" builtinId="5"/>
  </cellStyles>
  <dxfs count="3">
    <dxf>
      <font>
        <b val="0"/>
        <i val="0"/>
        <strike val="0"/>
        <condense val="0"/>
        <extend val="0"/>
        <outline val="0"/>
        <shadow val="0"/>
        <u val="none"/>
        <vertAlign val="baseline"/>
        <sz val="10"/>
        <color theme="1"/>
        <name val="Arial Narrow"/>
        <scheme val="none"/>
      </font>
      <numFmt numFmtId="0" formatCode="General"/>
      <fill>
        <patternFill patternType="none">
          <fgColor indexed="64"/>
          <bgColor indexed="65"/>
        </patternFill>
      </fill>
      <alignment horizontal="center" vertical="bottom" textRotation="0" wrapText="0" indent="0" justifyLastLine="0" shrinkToFit="0" readingOrder="0"/>
    </dxf>
    <dxf>
      <font>
        <strike val="0"/>
        <outline val="0"/>
        <shadow val="0"/>
        <vertAlign val="baseline"/>
        <sz val="10"/>
        <name val="Arial Narrow"/>
        <scheme val="none"/>
      </font>
      <fill>
        <patternFill patternType="none">
          <fgColor indexed="64"/>
          <bgColor indexed="65"/>
        </patternFill>
      </fill>
      <alignment horizontal="center" vertical="bottom" textRotation="0" wrapText="0" indent="0" justifyLastLine="0" shrinkToFit="0" readingOrder="0"/>
    </dxf>
    <dxf>
      <font>
        <strike val="0"/>
        <outline val="0"/>
        <shadow val="0"/>
        <vertAlign val="baseline"/>
        <sz val="10"/>
        <name val="Arial Narrow"/>
        <scheme val="none"/>
      </font>
      <fill>
        <patternFill patternType="none">
          <fgColor indexed="64"/>
          <bgColor indexed="65"/>
        </patternFill>
      </fill>
      <alignment horizontal="center" vertical="bottom"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3" displayName="Table3" ref="B3:B40" totalsRowShown="0" headerRowDxfId="2" dataDxfId="1">
  <tableColumns count="1">
    <tableColumn id="1" xr3:uid="{00000000-0010-0000-0000-000001000000}" name="Year" dataDxfId="0" dataCellStyle="Comma"/>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FF"/>
  </sheetPr>
  <dimension ref="A1:Q84"/>
  <sheetViews>
    <sheetView workbookViewId="0">
      <selection activeCell="A9" sqref="A9"/>
    </sheetView>
  </sheetViews>
  <sheetFormatPr defaultColWidth="10.85546875" defaultRowHeight="15"/>
  <cols>
    <col min="1" max="1" width="104.7109375" style="166" customWidth="1"/>
    <col min="2" max="16384" width="10.85546875" style="166"/>
  </cols>
  <sheetData>
    <row r="1" spans="1:17" ht="20.25">
      <c r="A1" s="167" t="s">
        <v>256</v>
      </c>
      <c r="B1" s="165"/>
      <c r="C1" s="165"/>
      <c r="D1" s="165"/>
      <c r="E1" s="168"/>
      <c r="F1" s="165"/>
      <c r="G1" s="165"/>
      <c r="H1" s="165"/>
      <c r="I1" s="165"/>
      <c r="J1" s="165"/>
      <c r="K1" s="165"/>
    </row>
    <row r="2" spans="1:17" ht="20.25">
      <c r="A2" s="167"/>
      <c r="B2" s="165"/>
      <c r="C2" s="165"/>
      <c r="D2" s="165"/>
      <c r="E2" s="168"/>
      <c r="F2" s="165"/>
      <c r="G2" s="165"/>
      <c r="H2" s="165"/>
      <c r="I2" s="165"/>
      <c r="J2" s="165"/>
      <c r="K2" s="165"/>
    </row>
    <row r="3" spans="1:17" ht="20.25">
      <c r="A3" s="171" t="s">
        <v>259</v>
      </c>
      <c r="B3" s="165"/>
      <c r="C3" s="165"/>
      <c r="D3" s="165"/>
      <c r="E3" s="168"/>
      <c r="F3" s="165"/>
      <c r="G3" s="165"/>
      <c r="H3" s="165"/>
      <c r="I3" s="165"/>
      <c r="J3" s="165"/>
      <c r="K3" s="165"/>
    </row>
    <row r="4" spans="1:17" ht="30">
      <c r="A4" s="169" t="s">
        <v>258</v>
      </c>
      <c r="B4" s="165"/>
      <c r="C4" s="165"/>
      <c r="D4" s="165"/>
      <c r="E4" s="165"/>
      <c r="F4" s="165"/>
      <c r="G4" s="165"/>
      <c r="H4" s="165"/>
      <c r="I4" s="165"/>
      <c r="J4" s="165"/>
      <c r="K4" s="165"/>
      <c r="L4" s="165"/>
      <c r="M4" s="165"/>
      <c r="N4" s="165"/>
      <c r="O4" s="165"/>
      <c r="P4" s="165"/>
      <c r="Q4" s="165"/>
    </row>
    <row r="5" spans="1:17" ht="30">
      <c r="A5" s="169" t="s">
        <v>255</v>
      </c>
      <c r="B5" s="165"/>
      <c r="C5" s="165"/>
      <c r="D5" s="165"/>
      <c r="E5" s="165"/>
      <c r="F5" s="165"/>
      <c r="G5" s="165"/>
      <c r="H5" s="165"/>
      <c r="I5" s="165"/>
      <c r="J5" s="165"/>
      <c r="K5" s="165"/>
      <c r="L5" s="165"/>
      <c r="M5" s="165"/>
      <c r="N5" s="165"/>
      <c r="O5" s="165"/>
      <c r="P5" s="165"/>
      <c r="Q5" s="165"/>
    </row>
    <row r="6" spans="1:17">
      <c r="A6" s="170"/>
      <c r="B6" s="165"/>
      <c r="C6" s="165"/>
      <c r="D6" s="165"/>
      <c r="E6" s="165"/>
      <c r="F6" s="165"/>
      <c r="G6" s="165"/>
      <c r="H6" s="165"/>
      <c r="I6" s="165"/>
      <c r="J6" s="165"/>
      <c r="K6" s="165"/>
      <c r="L6" s="165"/>
      <c r="M6" s="165"/>
      <c r="N6" s="165"/>
      <c r="O6" s="165"/>
      <c r="P6" s="165"/>
      <c r="Q6" s="165"/>
    </row>
    <row r="7" spans="1:17" ht="45">
      <c r="A7" s="169" t="s">
        <v>257</v>
      </c>
      <c r="B7" s="165"/>
      <c r="C7" s="165"/>
      <c r="D7" s="165"/>
      <c r="E7" s="165"/>
      <c r="F7" s="165"/>
      <c r="G7" s="165"/>
      <c r="H7" s="165"/>
      <c r="I7" s="165"/>
      <c r="J7" s="165"/>
      <c r="K7" s="165"/>
      <c r="L7" s="165"/>
      <c r="M7" s="165"/>
      <c r="N7" s="165"/>
      <c r="O7" s="165"/>
      <c r="P7" s="165"/>
      <c r="Q7" s="165"/>
    </row>
    <row r="8" spans="1:17">
      <c r="A8" s="165"/>
      <c r="B8" s="165"/>
      <c r="C8" s="165"/>
      <c r="D8" s="165"/>
      <c r="E8" s="165"/>
      <c r="F8" s="165"/>
      <c r="G8" s="165"/>
      <c r="H8" s="165"/>
      <c r="I8" s="165"/>
      <c r="J8" s="165"/>
      <c r="K8" s="165"/>
      <c r="L8" s="165"/>
      <c r="M8" s="165"/>
      <c r="N8" s="165"/>
      <c r="O8" s="165"/>
      <c r="P8" s="165"/>
      <c r="Q8" s="165"/>
    </row>
    <row r="9" spans="1:17">
      <c r="A9" s="165" t="s">
        <v>350</v>
      </c>
      <c r="B9" s="165"/>
      <c r="C9" s="165"/>
      <c r="D9" s="165"/>
      <c r="E9" s="165"/>
      <c r="F9" s="165"/>
      <c r="G9" s="165"/>
      <c r="H9" s="165"/>
      <c r="I9" s="165"/>
      <c r="J9" s="165"/>
      <c r="K9" s="165"/>
      <c r="L9" s="165"/>
      <c r="M9" s="165"/>
      <c r="N9" s="165"/>
      <c r="O9" s="165"/>
      <c r="P9" s="165"/>
      <c r="Q9" s="165"/>
    </row>
    <row r="10" spans="1:17">
      <c r="A10" s="165"/>
      <c r="B10" s="165"/>
      <c r="C10" s="165"/>
      <c r="D10" s="165"/>
      <c r="E10" s="165"/>
      <c r="F10" s="165"/>
      <c r="G10" s="165"/>
      <c r="H10" s="165"/>
      <c r="I10" s="165"/>
      <c r="J10" s="165"/>
      <c r="K10" s="165"/>
      <c r="L10" s="165"/>
      <c r="M10" s="165"/>
      <c r="N10" s="165"/>
      <c r="O10" s="165"/>
      <c r="P10" s="165"/>
      <c r="Q10" s="165"/>
    </row>
    <row r="11" spans="1:17">
      <c r="A11" s="165"/>
      <c r="B11" s="165"/>
      <c r="C11" s="165"/>
      <c r="D11" s="165"/>
      <c r="E11" s="165"/>
      <c r="F11" s="165"/>
      <c r="G11" s="165"/>
      <c r="H11" s="165"/>
      <c r="I11" s="165"/>
      <c r="J11" s="165"/>
      <c r="K11" s="165"/>
      <c r="L11" s="165"/>
      <c r="M11" s="165"/>
      <c r="N11" s="165"/>
      <c r="O11" s="165"/>
      <c r="P11" s="165"/>
      <c r="Q11" s="165"/>
    </row>
    <row r="12" spans="1:17">
      <c r="A12" s="165"/>
      <c r="B12" s="165"/>
      <c r="C12" s="165"/>
      <c r="D12" s="165"/>
      <c r="E12" s="165"/>
      <c r="F12" s="165"/>
      <c r="G12" s="165"/>
      <c r="H12" s="165"/>
      <c r="I12" s="165"/>
      <c r="J12" s="165"/>
      <c r="K12" s="165"/>
      <c r="L12" s="165"/>
      <c r="M12" s="165"/>
      <c r="N12" s="165"/>
      <c r="O12" s="165"/>
      <c r="P12" s="165"/>
      <c r="Q12" s="165"/>
    </row>
    <row r="13" spans="1:17">
      <c r="A13" s="165"/>
      <c r="B13" s="165"/>
      <c r="C13" s="165"/>
      <c r="D13" s="165"/>
      <c r="E13" s="165"/>
      <c r="F13" s="165"/>
      <c r="G13" s="165"/>
      <c r="H13" s="165"/>
      <c r="I13" s="165"/>
      <c r="J13" s="165"/>
      <c r="K13" s="165"/>
      <c r="L13" s="165"/>
      <c r="M13" s="165"/>
      <c r="N13" s="165"/>
      <c r="O13" s="165"/>
      <c r="P13" s="165"/>
      <c r="Q13" s="165"/>
    </row>
    <row r="14" spans="1:17">
      <c r="A14" s="165"/>
      <c r="B14" s="165"/>
      <c r="C14" s="165"/>
      <c r="D14" s="165"/>
      <c r="E14" s="165"/>
      <c r="F14" s="165"/>
      <c r="G14" s="165"/>
      <c r="H14" s="165"/>
      <c r="I14" s="165"/>
      <c r="J14" s="165"/>
      <c r="K14" s="165"/>
      <c r="L14" s="165"/>
      <c r="M14" s="165"/>
      <c r="N14" s="165"/>
      <c r="O14" s="165"/>
      <c r="P14" s="165"/>
      <c r="Q14" s="165"/>
    </row>
    <row r="15" spans="1:17">
      <c r="A15" s="165"/>
      <c r="B15" s="165"/>
      <c r="C15" s="165"/>
      <c r="D15" s="165"/>
      <c r="E15" s="165"/>
      <c r="F15" s="165"/>
      <c r="G15" s="165"/>
      <c r="H15" s="165"/>
      <c r="I15" s="165"/>
      <c r="J15" s="165"/>
      <c r="K15" s="165"/>
      <c r="L15" s="165"/>
      <c r="M15" s="165"/>
      <c r="N15" s="165"/>
      <c r="O15" s="165"/>
      <c r="P15" s="165"/>
      <c r="Q15" s="165"/>
    </row>
    <row r="16" spans="1:17">
      <c r="A16" s="165"/>
      <c r="B16" s="165"/>
      <c r="C16" s="165"/>
      <c r="D16" s="165"/>
      <c r="E16" s="165"/>
      <c r="F16" s="165"/>
      <c r="G16" s="165"/>
      <c r="H16" s="165"/>
      <c r="I16" s="165"/>
      <c r="J16" s="165"/>
      <c r="K16" s="165"/>
      <c r="L16" s="165"/>
      <c r="M16" s="165"/>
      <c r="N16" s="165"/>
      <c r="O16" s="165"/>
      <c r="P16" s="165"/>
      <c r="Q16" s="165"/>
    </row>
    <row r="17" spans="1:17">
      <c r="A17" s="165"/>
      <c r="B17" s="165"/>
      <c r="C17" s="165"/>
      <c r="D17" s="165"/>
      <c r="E17" s="165"/>
      <c r="F17" s="165"/>
      <c r="G17" s="165"/>
      <c r="H17" s="165"/>
      <c r="I17" s="165"/>
      <c r="J17" s="165"/>
      <c r="K17" s="165"/>
      <c r="L17" s="165"/>
      <c r="M17" s="165"/>
      <c r="N17" s="165"/>
      <c r="O17" s="165"/>
      <c r="P17" s="165"/>
      <c r="Q17" s="165"/>
    </row>
    <row r="18" spans="1:17">
      <c r="A18" s="165"/>
      <c r="B18" s="165"/>
      <c r="C18" s="165"/>
      <c r="D18" s="165"/>
      <c r="E18" s="165"/>
      <c r="F18" s="165"/>
      <c r="G18" s="165"/>
      <c r="H18" s="165"/>
      <c r="I18" s="165"/>
      <c r="J18" s="165"/>
      <c r="K18" s="165"/>
      <c r="L18" s="165"/>
      <c r="M18" s="165"/>
      <c r="N18" s="165"/>
      <c r="O18" s="165"/>
      <c r="P18" s="165"/>
      <c r="Q18" s="165"/>
    </row>
    <row r="19" spans="1:17">
      <c r="A19" s="165"/>
      <c r="B19" s="165"/>
      <c r="C19" s="165"/>
      <c r="D19" s="165"/>
      <c r="E19" s="165"/>
      <c r="F19" s="165"/>
      <c r="G19" s="165"/>
      <c r="H19" s="165"/>
      <c r="I19" s="165"/>
      <c r="J19" s="165"/>
      <c r="K19" s="165"/>
      <c r="L19" s="165"/>
      <c r="M19" s="165"/>
      <c r="N19" s="165"/>
      <c r="O19" s="165"/>
      <c r="P19" s="165"/>
      <c r="Q19" s="165"/>
    </row>
    <row r="20" spans="1:17">
      <c r="A20" s="165"/>
      <c r="B20" s="165"/>
      <c r="C20" s="165"/>
      <c r="D20" s="165"/>
      <c r="E20" s="165"/>
      <c r="F20" s="165"/>
      <c r="G20" s="165"/>
      <c r="H20" s="165"/>
      <c r="I20" s="165"/>
      <c r="J20" s="165"/>
      <c r="K20" s="165"/>
      <c r="L20" s="165"/>
      <c r="M20" s="165"/>
      <c r="N20" s="165"/>
      <c r="O20" s="165"/>
      <c r="P20" s="165"/>
      <c r="Q20" s="165"/>
    </row>
    <row r="21" spans="1:17">
      <c r="A21" s="165"/>
      <c r="B21" s="165"/>
      <c r="C21" s="165"/>
      <c r="D21" s="165"/>
      <c r="E21" s="165"/>
      <c r="F21" s="165"/>
      <c r="G21" s="165"/>
      <c r="H21" s="165"/>
      <c r="I21" s="165"/>
      <c r="J21" s="165"/>
      <c r="K21" s="165"/>
      <c r="L21" s="165"/>
      <c r="M21" s="165"/>
      <c r="N21" s="165"/>
      <c r="O21" s="165"/>
      <c r="P21" s="165"/>
      <c r="Q21" s="165"/>
    </row>
    <row r="22" spans="1:17">
      <c r="A22" s="165"/>
      <c r="B22" s="165"/>
      <c r="C22" s="165"/>
      <c r="D22" s="165"/>
      <c r="E22" s="165"/>
      <c r="F22" s="165"/>
      <c r="G22" s="165"/>
      <c r="H22" s="165"/>
      <c r="I22" s="165"/>
      <c r="J22" s="165"/>
      <c r="K22" s="165"/>
      <c r="L22" s="165"/>
      <c r="M22" s="165"/>
      <c r="N22" s="165"/>
      <c r="O22" s="165"/>
      <c r="P22" s="165"/>
      <c r="Q22" s="165"/>
    </row>
    <row r="23" spans="1:17">
      <c r="A23" s="165"/>
      <c r="B23" s="165"/>
      <c r="C23" s="165"/>
      <c r="D23" s="165"/>
      <c r="E23" s="165"/>
      <c r="F23" s="165"/>
      <c r="G23" s="165"/>
      <c r="H23" s="165"/>
      <c r="I23" s="165"/>
      <c r="J23" s="165"/>
      <c r="K23" s="165"/>
      <c r="L23" s="165"/>
      <c r="M23" s="165"/>
      <c r="N23" s="165"/>
      <c r="O23" s="165"/>
      <c r="P23" s="165"/>
      <c r="Q23" s="165"/>
    </row>
    <row r="24" spans="1:17">
      <c r="A24" s="165"/>
      <c r="B24" s="165"/>
      <c r="C24" s="165"/>
      <c r="D24" s="165"/>
      <c r="E24" s="165"/>
      <c r="F24" s="165"/>
      <c r="G24" s="165"/>
      <c r="H24" s="165"/>
      <c r="I24" s="165"/>
      <c r="J24" s="165"/>
      <c r="K24" s="165"/>
      <c r="L24" s="165"/>
      <c r="M24" s="165"/>
      <c r="N24" s="165"/>
      <c r="O24" s="165"/>
      <c r="P24" s="165"/>
      <c r="Q24" s="165"/>
    </row>
    <row r="25" spans="1:17">
      <c r="A25" s="165"/>
      <c r="B25" s="165"/>
      <c r="C25" s="165"/>
      <c r="D25" s="165"/>
      <c r="E25" s="165"/>
      <c r="F25" s="165"/>
      <c r="G25" s="165"/>
      <c r="H25" s="165"/>
      <c r="I25" s="165"/>
      <c r="J25" s="165"/>
      <c r="K25" s="165"/>
      <c r="L25" s="165"/>
      <c r="M25" s="165"/>
      <c r="N25" s="165"/>
      <c r="O25" s="165"/>
      <c r="P25" s="165"/>
      <c r="Q25" s="165"/>
    </row>
    <row r="26" spans="1:17">
      <c r="A26" s="165"/>
      <c r="B26" s="165"/>
      <c r="C26" s="165"/>
      <c r="D26" s="165"/>
      <c r="E26" s="165"/>
      <c r="F26" s="165"/>
      <c r="G26" s="165"/>
      <c r="H26" s="165"/>
      <c r="I26" s="165"/>
      <c r="J26" s="165"/>
      <c r="K26" s="165"/>
      <c r="L26" s="165"/>
      <c r="M26" s="165"/>
      <c r="N26" s="165"/>
      <c r="O26" s="165"/>
      <c r="P26" s="165"/>
      <c r="Q26" s="165"/>
    </row>
    <row r="27" spans="1:17">
      <c r="A27" s="165"/>
      <c r="B27" s="165"/>
      <c r="C27" s="165"/>
      <c r="D27" s="165"/>
      <c r="E27" s="165"/>
      <c r="F27" s="165"/>
      <c r="G27" s="165"/>
      <c r="H27" s="165"/>
      <c r="I27" s="165"/>
      <c r="J27" s="165"/>
      <c r="K27" s="165"/>
      <c r="L27" s="165"/>
      <c r="M27" s="165"/>
      <c r="N27" s="165"/>
      <c r="O27" s="165"/>
      <c r="P27" s="165"/>
      <c r="Q27" s="165"/>
    </row>
    <row r="28" spans="1:17">
      <c r="A28" s="165"/>
      <c r="B28" s="165"/>
      <c r="C28" s="165"/>
      <c r="D28" s="165"/>
      <c r="E28" s="165"/>
      <c r="F28" s="165"/>
      <c r="G28" s="165"/>
      <c r="H28" s="165"/>
      <c r="I28" s="165"/>
      <c r="J28" s="165"/>
      <c r="K28" s="165"/>
      <c r="L28" s="165"/>
      <c r="M28" s="165"/>
      <c r="N28" s="165"/>
      <c r="O28" s="165"/>
      <c r="P28" s="165"/>
      <c r="Q28" s="165"/>
    </row>
    <row r="29" spans="1:17">
      <c r="A29" s="165"/>
      <c r="B29" s="165"/>
      <c r="C29" s="165"/>
      <c r="D29" s="165"/>
      <c r="E29" s="165"/>
      <c r="F29" s="165"/>
      <c r="G29" s="165"/>
      <c r="H29" s="165"/>
      <c r="I29" s="165"/>
      <c r="J29" s="165"/>
      <c r="K29" s="165"/>
      <c r="L29" s="165"/>
      <c r="M29" s="165"/>
      <c r="N29" s="165"/>
      <c r="O29" s="165"/>
      <c r="P29" s="165"/>
      <c r="Q29" s="165"/>
    </row>
    <row r="30" spans="1:17">
      <c r="A30" s="165"/>
      <c r="B30" s="165"/>
      <c r="C30" s="165"/>
      <c r="D30" s="165"/>
      <c r="E30" s="165"/>
      <c r="F30" s="165"/>
      <c r="G30" s="165"/>
      <c r="H30" s="165"/>
      <c r="I30" s="165"/>
      <c r="J30" s="165"/>
      <c r="K30" s="165"/>
      <c r="L30" s="165"/>
      <c r="M30" s="165"/>
      <c r="N30" s="165"/>
      <c r="O30" s="165"/>
      <c r="P30" s="165"/>
      <c r="Q30" s="165"/>
    </row>
    <row r="31" spans="1:17">
      <c r="A31" s="165"/>
      <c r="B31" s="165"/>
      <c r="C31" s="165"/>
      <c r="D31" s="165"/>
      <c r="E31" s="165"/>
      <c r="F31" s="165"/>
      <c r="G31" s="165"/>
      <c r="H31" s="165"/>
      <c r="I31" s="165"/>
      <c r="J31" s="165"/>
      <c r="K31" s="165"/>
      <c r="L31" s="165"/>
      <c r="M31" s="165"/>
      <c r="N31" s="165"/>
      <c r="O31" s="165"/>
      <c r="P31" s="165"/>
      <c r="Q31" s="165"/>
    </row>
    <row r="32" spans="1:17">
      <c r="A32" s="165"/>
      <c r="B32" s="165"/>
      <c r="C32" s="165"/>
      <c r="D32" s="165"/>
      <c r="E32" s="165"/>
      <c r="F32" s="165"/>
      <c r="G32" s="165"/>
      <c r="H32" s="165"/>
      <c r="I32" s="165"/>
      <c r="J32" s="165"/>
      <c r="K32" s="165"/>
      <c r="L32" s="165"/>
      <c r="M32" s="165"/>
      <c r="N32" s="165"/>
      <c r="O32" s="165"/>
      <c r="P32" s="165"/>
      <c r="Q32" s="165"/>
    </row>
    <row r="33" spans="1:17">
      <c r="A33" s="165"/>
      <c r="B33" s="165"/>
      <c r="C33" s="165"/>
      <c r="D33" s="165"/>
      <c r="E33" s="165"/>
      <c r="F33" s="165"/>
      <c r="G33" s="165"/>
      <c r="H33" s="165"/>
      <c r="I33" s="165"/>
      <c r="J33" s="165"/>
      <c r="K33" s="165"/>
      <c r="L33" s="165"/>
      <c r="M33" s="165"/>
      <c r="N33" s="165"/>
      <c r="O33" s="165"/>
      <c r="P33" s="165"/>
      <c r="Q33" s="165"/>
    </row>
    <row r="34" spans="1:17">
      <c r="A34" s="165"/>
      <c r="B34" s="165"/>
      <c r="C34" s="165"/>
      <c r="D34" s="165"/>
      <c r="E34" s="165"/>
      <c r="F34" s="165"/>
      <c r="G34" s="165"/>
      <c r="H34" s="165"/>
      <c r="I34" s="165"/>
      <c r="J34" s="165"/>
      <c r="K34" s="165"/>
      <c r="L34" s="165"/>
      <c r="M34" s="165"/>
      <c r="N34" s="165"/>
      <c r="O34" s="165"/>
      <c r="P34" s="165"/>
      <c r="Q34" s="165"/>
    </row>
    <row r="35" spans="1:17">
      <c r="A35" s="165"/>
      <c r="B35" s="165"/>
      <c r="C35" s="165"/>
      <c r="D35" s="165"/>
      <c r="E35" s="165"/>
      <c r="F35" s="165"/>
      <c r="G35" s="165"/>
      <c r="H35" s="165"/>
      <c r="I35" s="165"/>
      <c r="J35" s="165"/>
      <c r="K35" s="165"/>
      <c r="L35" s="165"/>
      <c r="M35" s="165"/>
      <c r="N35" s="165"/>
      <c r="O35" s="165"/>
      <c r="P35" s="165"/>
      <c r="Q35" s="165"/>
    </row>
    <row r="36" spans="1:17">
      <c r="A36" s="165"/>
      <c r="B36" s="165"/>
      <c r="C36" s="165"/>
      <c r="D36" s="165"/>
      <c r="E36" s="165"/>
      <c r="F36" s="165"/>
      <c r="G36" s="165"/>
      <c r="H36" s="165"/>
      <c r="I36" s="165"/>
      <c r="J36" s="165"/>
      <c r="K36" s="165"/>
      <c r="L36" s="165"/>
      <c r="M36" s="165"/>
      <c r="N36" s="165"/>
      <c r="O36" s="165"/>
      <c r="P36" s="165"/>
      <c r="Q36" s="165"/>
    </row>
    <row r="37" spans="1:17">
      <c r="A37" s="165"/>
      <c r="B37" s="165"/>
      <c r="C37" s="165"/>
      <c r="D37" s="165"/>
      <c r="E37" s="165"/>
      <c r="F37" s="165"/>
      <c r="G37" s="165"/>
      <c r="H37" s="165"/>
      <c r="I37" s="165"/>
      <c r="J37" s="165"/>
      <c r="K37" s="165"/>
      <c r="L37" s="165"/>
      <c r="M37" s="165"/>
      <c r="N37" s="165"/>
      <c r="O37" s="165"/>
      <c r="P37" s="165"/>
      <c r="Q37" s="165"/>
    </row>
    <row r="38" spans="1:17">
      <c r="A38" s="165"/>
      <c r="B38" s="165"/>
      <c r="C38" s="165"/>
      <c r="D38" s="165"/>
      <c r="E38" s="165"/>
      <c r="F38" s="165"/>
      <c r="G38" s="165"/>
      <c r="H38" s="165"/>
      <c r="I38" s="165"/>
      <c r="J38" s="165"/>
      <c r="K38" s="165"/>
      <c r="L38" s="165"/>
      <c r="M38" s="165"/>
      <c r="N38" s="165"/>
      <c r="O38" s="165"/>
      <c r="P38" s="165"/>
      <c r="Q38" s="165"/>
    </row>
    <row r="39" spans="1:17">
      <c r="A39" s="165"/>
      <c r="B39" s="165"/>
      <c r="C39" s="165"/>
      <c r="D39" s="165"/>
      <c r="E39" s="165"/>
      <c r="F39" s="165"/>
      <c r="G39" s="165"/>
      <c r="H39" s="165"/>
      <c r="I39" s="165"/>
      <c r="J39" s="165"/>
      <c r="K39" s="165"/>
      <c r="L39" s="165"/>
      <c r="M39" s="165"/>
      <c r="N39" s="165"/>
      <c r="O39" s="165"/>
      <c r="P39" s="165"/>
      <c r="Q39" s="165"/>
    </row>
    <row r="40" spans="1:17">
      <c r="A40" s="165"/>
      <c r="B40" s="165"/>
      <c r="C40" s="165"/>
      <c r="D40" s="165"/>
      <c r="E40" s="165"/>
      <c r="F40" s="165"/>
      <c r="G40" s="165"/>
      <c r="H40" s="165"/>
      <c r="I40" s="165"/>
      <c r="J40" s="165"/>
      <c r="K40" s="165"/>
      <c r="L40" s="165"/>
      <c r="M40" s="165"/>
      <c r="N40" s="165"/>
      <c r="O40" s="165"/>
      <c r="P40" s="165"/>
      <c r="Q40" s="165"/>
    </row>
    <row r="41" spans="1:17">
      <c r="A41" s="165"/>
      <c r="B41" s="165"/>
      <c r="C41" s="165"/>
      <c r="D41" s="165"/>
      <c r="E41" s="165"/>
      <c r="F41" s="165"/>
      <c r="G41" s="165"/>
      <c r="H41" s="165"/>
      <c r="I41" s="165"/>
      <c r="J41" s="165"/>
      <c r="K41" s="165"/>
      <c r="L41" s="165"/>
      <c r="M41" s="165"/>
      <c r="N41" s="165"/>
      <c r="O41" s="165"/>
      <c r="P41" s="165"/>
      <c r="Q41" s="165"/>
    </row>
    <row r="42" spans="1:17">
      <c r="A42" s="165"/>
      <c r="B42" s="165"/>
      <c r="C42" s="165"/>
      <c r="D42" s="165"/>
      <c r="E42" s="165"/>
      <c r="F42" s="165"/>
      <c r="G42" s="165"/>
      <c r="H42" s="165"/>
      <c r="I42" s="165"/>
      <c r="J42" s="165"/>
      <c r="K42" s="165"/>
      <c r="L42" s="165"/>
      <c r="M42" s="165"/>
      <c r="N42" s="165"/>
      <c r="O42" s="165"/>
      <c r="P42" s="165"/>
      <c r="Q42" s="165"/>
    </row>
    <row r="43" spans="1:17">
      <c r="A43" s="165"/>
      <c r="B43" s="165"/>
      <c r="C43" s="165"/>
      <c r="D43" s="165"/>
      <c r="E43" s="165"/>
      <c r="F43" s="165"/>
      <c r="G43" s="165"/>
      <c r="H43" s="165"/>
      <c r="I43" s="165"/>
      <c r="J43" s="165"/>
      <c r="K43" s="165"/>
      <c r="L43" s="165"/>
      <c r="M43" s="165"/>
      <c r="N43" s="165"/>
      <c r="O43" s="165"/>
      <c r="P43" s="165"/>
      <c r="Q43" s="165"/>
    </row>
    <row r="44" spans="1:17">
      <c r="A44" s="165"/>
      <c r="B44" s="165"/>
      <c r="C44" s="165"/>
      <c r="D44" s="165"/>
      <c r="E44" s="165"/>
      <c r="F44" s="165"/>
      <c r="G44" s="165"/>
      <c r="H44" s="165"/>
      <c r="I44" s="165"/>
      <c r="J44" s="165"/>
      <c r="K44" s="165"/>
      <c r="L44" s="165"/>
      <c r="M44" s="165"/>
      <c r="N44" s="165"/>
      <c r="O44" s="165"/>
      <c r="P44" s="165"/>
      <c r="Q44" s="165"/>
    </row>
    <row r="45" spans="1:17">
      <c r="A45" s="165"/>
      <c r="B45" s="165"/>
      <c r="C45" s="165"/>
      <c r="D45" s="165"/>
      <c r="E45" s="165"/>
      <c r="F45" s="165"/>
      <c r="G45" s="165"/>
      <c r="H45" s="165"/>
      <c r="I45" s="165"/>
      <c r="J45" s="165"/>
      <c r="K45" s="165"/>
      <c r="L45" s="165"/>
      <c r="M45" s="165"/>
      <c r="N45" s="165"/>
      <c r="O45" s="165"/>
      <c r="P45" s="165"/>
      <c r="Q45" s="165"/>
    </row>
    <row r="46" spans="1:17">
      <c r="A46" s="165"/>
      <c r="B46" s="165"/>
      <c r="C46" s="165"/>
      <c r="D46" s="165"/>
      <c r="E46" s="165"/>
      <c r="F46" s="165"/>
      <c r="G46" s="165"/>
      <c r="H46" s="165"/>
      <c r="I46" s="165"/>
      <c r="J46" s="165"/>
      <c r="K46" s="165"/>
      <c r="L46" s="165"/>
      <c r="M46" s="165"/>
      <c r="N46" s="165"/>
      <c r="O46" s="165"/>
      <c r="P46" s="165"/>
      <c r="Q46" s="165"/>
    </row>
    <row r="47" spans="1:17">
      <c r="A47" s="165"/>
      <c r="B47" s="165"/>
      <c r="C47" s="165"/>
      <c r="D47" s="165"/>
      <c r="E47" s="165"/>
      <c r="F47" s="165"/>
      <c r="G47" s="165"/>
      <c r="H47" s="165"/>
      <c r="I47" s="165"/>
      <c r="J47" s="165"/>
      <c r="K47" s="165"/>
      <c r="L47" s="165"/>
      <c r="M47" s="165"/>
      <c r="N47" s="165"/>
      <c r="O47" s="165"/>
      <c r="P47" s="165"/>
      <c r="Q47" s="165"/>
    </row>
    <row r="48" spans="1:17">
      <c r="A48" s="165"/>
      <c r="B48" s="165"/>
      <c r="C48" s="165"/>
      <c r="D48" s="165"/>
      <c r="E48" s="165"/>
      <c r="F48" s="165"/>
      <c r="G48" s="165"/>
      <c r="H48" s="165"/>
      <c r="I48" s="165"/>
      <c r="J48" s="165"/>
      <c r="K48" s="165"/>
      <c r="L48" s="165"/>
      <c r="M48" s="165"/>
      <c r="N48" s="165"/>
      <c r="O48" s="165"/>
      <c r="P48" s="165"/>
      <c r="Q48" s="165"/>
    </row>
    <row r="49" spans="1:17">
      <c r="A49" s="165"/>
      <c r="B49" s="165"/>
      <c r="C49" s="165"/>
      <c r="D49" s="165"/>
      <c r="E49" s="165"/>
      <c r="F49" s="165"/>
      <c r="G49" s="165"/>
      <c r="H49" s="165"/>
      <c r="I49" s="165"/>
      <c r="J49" s="165"/>
      <c r="K49" s="165"/>
      <c r="L49" s="165"/>
      <c r="M49" s="165"/>
      <c r="N49" s="165"/>
      <c r="O49" s="165"/>
      <c r="P49" s="165"/>
      <c r="Q49" s="165"/>
    </row>
    <row r="50" spans="1:17">
      <c r="A50" s="165"/>
      <c r="B50" s="165"/>
      <c r="C50" s="165"/>
      <c r="D50" s="165"/>
      <c r="E50" s="165"/>
      <c r="F50" s="165"/>
      <c r="G50" s="165"/>
      <c r="H50" s="165"/>
      <c r="I50" s="165"/>
      <c r="J50" s="165"/>
      <c r="K50" s="165"/>
      <c r="L50" s="165"/>
      <c r="M50" s="165"/>
      <c r="N50" s="165"/>
      <c r="O50" s="165"/>
      <c r="P50" s="165"/>
      <c r="Q50" s="165"/>
    </row>
    <row r="51" spans="1:17">
      <c r="A51" s="165"/>
      <c r="B51" s="165"/>
      <c r="C51" s="165"/>
      <c r="D51" s="165"/>
      <c r="E51" s="165"/>
      <c r="F51" s="165"/>
      <c r="G51" s="165"/>
      <c r="H51" s="165"/>
      <c r="I51" s="165"/>
      <c r="J51" s="165"/>
      <c r="K51" s="165"/>
      <c r="L51" s="165"/>
      <c r="M51" s="165"/>
      <c r="N51" s="165"/>
      <c r="O51" s="165"/>
      <c r="P51" s="165"/>
      <c r="Q51" s="165"/>
    </row>
    <row r="52" spans="1:17">
      <c r="A52" s="165"/>
      <c r="B52" s="165"/>
      <c r="C52" s="165"/>
      <c r="D52" s="165"/>
      <c r="E52" s="165"/>
      <c r="F52" s="165"/>
      <c r="G52" s="165"/>
      <c r="H52" s="165"/>
      <c r="I52" s="165"/>
      <c r="J52" s="165"/>
      <c r="K52" s="165"/>
      <c r="L52" s="165"/>
      <c r="M52" s="165"/>
      <c r="N52" s="165"/>
      <c r="O52" s="165"/>
      <c r="P52" s="165"/>
      <c r="Q52" s="165"/>
    </row>
    <row r="53" spans="1:17">
      <c r="A53" s="165"/>
      <c r="B53" s="165"/>
      <c r="C53" s="165"/>
      <c r="D53" s="165"/>
      <c r="E53" s="165"/>
      <c r="F53" s="165"/>
      <c r="G53" s="165"/>
      <c r="H53" s="165"/>
      <c r="I53" s="165"/>
      <c r="J53" s="165"/>
      <c r="K53" s="165"/>
      <c r="L53" s="165"/>
      <c r="M53" s="165"/>
      <c r="N53" s="165"/>
      <c r="O53" s="165"/>
      <c r="P53" s="165"/>
      <c r="Q53" s="165"/>
    </row>
    <row r="54" spans="1:17">
      <c r="A54" s="165"/>
      <c r="B54" s="165"/>
      <c r="C54" s="165"/>
      <c r="D54" s="165"/>
      <c r="E54" s="165"/>
      <c r="F54" s="165"/>
      <c r="G54" s="165"/>
      <c r="H54" s="165"/>
      <c r="I54" s="165"/>
      <c r="J54" s="165"/>
      <c r="K54" s="165"/>
      <c r="L54" s="165"/>
      <c r="M54" s="165"/>
      <c r="N54" s="165"/>
      <c r="O54" s="165"/>
      <c r="P54" s="165"/>
      <c r="Q54" s="165"/>
    </row>
    <row r="55" spans="1:17">
      <c r="A55" s="165"/>
      <c r="B55" s="165"/>
      <c r="C55" s="165"/>
      <c r="D55" s="165"/>
      <c r="E55" s="165"/>
      <c r="F55" s="165"/>
      <c r="G55" s="165"/>
      <c r="H55" s="165"/>
      <c r="I55" s="165"/>
      <c r="J55" s="165"/>
      <c r="K55" s="165"/>
      <c r="L55" s="165"/>
      <c r="M55" s="165"/>
      <c r="N55" s="165"/>
      <c r="O55" s="165"/>
      <c r="P55" s="165"/>
      <c r="Q55" s="165"/>
    </row>
    <row r="56" spans="1:17">
      <c r="A56" s="165"/>
      <c r="B56" s="165"/>
      <c r="C56" s="165"/>
      <c r="D56" s="165"/>
      <c r="E56" s="165"/>
      <c r="F56" s="165"/>
      <c r="G56" s="165"/>
      <c r="H56" s="165"/>
      <c r="I56" s="165"/>
      <c r="J56" s="165"/>
      <c r="K56" s="165"/>
      <c r="L56" s="165"/>
      <c r="M56" s="165"/>
      <c r="N56" s="165"/>
      <c r="O56" s="165"/>
      <c r="P56" s="165"/>
      <c r="Q56" s="165"/>
    </row>
    <row r="57" spans="1:17">
      <c r="A57" s="165"/>
      <c r="B57" s="165"/>
      <c r="C57" s="165"/>
      <c r="D57" s="165"/>
      <c r="E57" s="165"/>
      <c r="F57" s="165"/>
      <c r="G57" s="165"/>
      <c r="H57" s="165"/>
      <c r="I57" s="165"/>
      <c r="J57" s="165"/>
      <c r="K57" s="165"/>
      <c r="L57" s="165"/>
      <c r="M57" s="165"/>
      <c r="N57" s="165"/>
      <c r="O57" s="165"/>
      <c r="P57" s="165"/>
      <c r="Q57" s="165"/>
    </row>
    <row r="58" spans="1:17">
      <c r="A58" s="165"/>
      <c r="B58" s="165"/>
      <c r="C58" s="165"/>
      <c r="D58" s="165"/>
      <c r="E58" s="165"/>
      <c r="F58" s="165"/>
      <c r="G58" s="165"/>
      <c r="H58" s="165"/>
      <c r="I58" s="165"/>
      <c r="J58" s="165"/>
      <c r="K58" s="165"/>
      <c r="L58" s="165"/>
      <c r="M58" s="165"/>
      <c r="N58" s="165"/>
      <c r="O58" s="165"/>
      <c r="P58" s="165"/>
      <c r="Q58" s="165"/>
    </row>
    <row r="59" spans="1:17">
      <c r="A59" s="165"/>
      <c r="B59" s="165"/>
      <c r="C59" s="165"/>
      <c r="D59" s="165"/>
      <c r="E59" s="165"/>
      <c r="F59" s="165"/>
      <c r="G59" s="165"/>
      <c r="H59" s="165"/>
      <c r="I59" s="165"/>
      <c r="J59" s="165"/>
      <c r="K59" s="165"/>
      <c r="L59" s="165"/>
      <c r="M59" s="165"/>
      <c r="N59" s="165"/>
      <c r="O59" s="165"/>
      <c r="P59" s="165"/>
      <c r="Q59" s="165"/>
    </row>
    <row r="60" spans="1:17">
      <c r="A60" s="165"/>
      <c r="B60" s="165"/>
      <c r="C60" s="165"/>
      <c r="D60" s="165"/>
      <c r="E60" s="165"/>
      <c r="F60" s="165"/>
      <c r="G60" s="165"/>
      <c r="H60" s="165"/>
      <c r="I60" s="165"/>
      <c r="J60" s="165"/>
      <c r="K60" s="165"/>
      <c r="L60" s="165"/>
      <c r="M60" s="165"/>
      <c r="N60" s="165"/>
      <c r="O60" s="165"/>
      <c r="P60" s="165"/>
      <c r="Q60" s="165"/>
    </row>
    <row r="61" spans="1:17">
      <c r="A61" s="165"/>
      <c r="B61" s="165"/>
      <c r="C61" s="165"/>
      <c r="D61" s="165"/>
      <c r="E61" s="165"/>
      <c r="F61" s="165"/>
      <c r="G61" s="165"/>
      <c r="H61" s="165"/>
      <c r="I61" s="165"/>
      <c r="J61" s="165"/>
      <c r="K61" s="165"/>
      <c r="L61" s="165"/>
      <c r="M61" s="165"/>
      <c r="N61" s="165"/>
      <c r="O61" s="165"/>
      <c r="P61" s="165"/>
      <c r="Q61" s="165"/>
    </row>
    <row r="62" spans="1:17">
      <c r="A62" s="165"/>
      <c r="B62" s="165"/>
      <c r="C62" s="165"/>
      <c r="D62" s="165"/>
      <c r="E62" s="165"/>
      <c r="F62" s="165"/>
      <c r="G62" s="165"/>
      <c r="H62" s="165"/>
      <c r="I62" s="165"/>
      <c r="J62" s="165"/>
      <c r="K62" s="165"/>
      <c r="L62" s="165"/>
      <c r="M62" s="165"/>
      <c r="N62" s="165"/>
      <c r="O62" s="165"/>
      <c r="P62" s="165"/>
      <c r="Q62" s="165"/>
    </row>
    <row r="63" spans="1:17">
      <c r="A63" s="165"/>
      <c r="B63" s="165"/>
      <c r="C63" s="165"/>
      <c r="D63" s="165"/>
      <c r="E63" s="165"/>
      <c r="F63" s="165"/>
      <c r="G63" s="165"/>
      <c r="H63" s="165"/>
      <c r="I63" s="165"/>
      <c r="J63" s="165"/>
      <c r="K63" s="165"/>
      <c r="L63" s="165"/>
      <c r="M63" s="165"/>
      <c r="N63" s="165"/>
      <c r="O63" s="165"/>
      <c r="P63" s="165"/>
      <c r="Q63" s="165"/>
    </row>
    <row r="64" spans="1:17">
      <c r="A64" s="165"/>
      <c r="B64" s="165"/>
      <c r="C64" s="165"/>
      <c r="D64" s="165"/>
      <c r="E64" s="165"/>
      <c r="F64" s="165"/>
      <c r="G64" s="165"/>
      <c r="H64" s="165"/>
      <c r="I64" s="165"/>
      <c r="J64" s="165"/>
      <c r="K64" s="165"/>
      <c r="L64" s="165"/>
      <c r="M64" s="165"/>
      <c r="N64" s="165"/>
      <c r="O64" s="165"/>
      <c r="P64" s="165"/>
      <c r="Q64" s="165"/>
    </row>
    <row r="65" spans="1:17">
      <c r="A65" s="165"/>
      <c r="B65" s="165"/>
      <c r="C65" s="165"/>
      <c r="D65" s="165"/>
      <c r="E65" s="165"/>
      <c r="F65" s="165"/>
      <c r="G65" s="165"/>
      <c r="H65" s="165"/>
      <c r="I65" s="165"/>
      <c r="J65" s="165"/>
      <c r="K65" s="165"/>
      <c r="L65" s="165"/>
      <c r="M65" s="165"/>
      <c r="N65" s="165"/>
      <c r="O65" s="165"/>
      <c r="P65" s="165"/>
      <c r="Q65" s="165"/>
    </row>
    <row r="66" spans="1:17">
      <c r="A66" s="165"/>
      <c r="B66" s="165"/>
      <c r="C66" s="165"/>
      <c r="D66" s="165"/>
      <c r="E66" s="165"/>
      <c r="F66" s="165"/>
      <c r="G66" s="165"/>
      <c r="H66" s="165"/>
      <c r="I66" s="165"/>
      <c r="J66" s="165"/>
      <c r="K66" s="165"/>
      <c r="L66" s="165"/>
      <c r="M66" s="165"/>
      <c r="N66" s="165"/>
      <c r="O66" s="165"/>
      <c r="P66" s="165"/>
      <c r="Q66" s="165"/>
    </row>
    <row r="67" spans="1:17">
      <c r="A67" s="165"/>
      <c r="B67" s="165"/>
      <c r="C67" s="165"/>
      <c r="D67" s="165"/>
      <c r="E67" s="165"/>
      <c r="F67" s="165"/>
      <c r="G67" s="165"/>
      <c r="H67" s="165"/>
      <c r="I67" s="165"/>
      <c r="J67" s="165"/>
      <c r="K67" s="165"/>
      <c r="L67" s="165"/>
      <c r="M67" s="165"/>
      <c r="N67" s="165"/>
      <c r="O67" s="165"/>
      <c r="P67" s="165"/>
      <c r="Q67" s="165"/>
    </row>
    <row r="68" spans="1:17">
      <c r="A68" s="165"/>
      <c r="B68" s="165"/>
      <c r="C68" s="165"/>
      <c r="D68" s="165"/>
      <c r="E68" s="165"/>
      <c r="F68" s="165"/>
      <c r="G68" s="165"/>
      <c r="H68" s="165"/>
      <c r="I68" s="165"/>
      <c r="J68" s="165"/>
      <c r="K68" s="165"/>
      <c r="L68" s="165"/>
      <c r="M68" s="165"/>
      <c r="N68" s="165"/>
      <c r="O68" s="165"/>
      <c r="P68" s="165"/>
      <c r="Q68" s="165"/>
    </row>
    <row r="69" spans="1:17">
      <c r="A69" s="165"/>
      <c r="B69" s="165"/>
      <c r="C69" s="165"/>
      <c r="D69" s="165"/>
      <c r="E69" s="165"/>
      <c r="F69" s="165"/>
      <c r="G69" s="165"/>
      <c r="H69" s="165"/>
      <c r="I69" s="165"/>
      <c r="J69" s="165"/>
      <c r="K69" s="165"/>
      <c r="L69" s="165"/>
      <c r="M69" s="165"/>
      <c r="N69" s="165"/>
      <c r="O69" s="165"/>
      <c r="P69" s="165"/>
      <c r="Q69" s="165"/>
    </row>
    <row r="70" spans="1:17">
      <c r="A70" s="165"/>
      <c r="B70" s="165"/>
      <c r="C70" s="165"/>
      <c r="D70" s="165"/>
      <c r="E70" s="165"/>
      <c r="F70" s="165"/>
      <c r="G70" s="165"/>
      <c r="H70" s="165"/>
      <c r="I70" s="165"/>
      <c r="J70" s="165"/>
      <c r="K70" s="165"/>
      <c r="L70" s="165"/>
      <c r="M70" s="165"/>
      <c r="N70" s="165"/>
      <c r="O70" s="165"/>
      <c r="P70" s="165"/>
      <c r="Q70" s="165"/>
    </row>
    <row r="71" spans="1:17">
      <c r="A71" s="165"/>
      <c r="B71" s="165"/>
      <c r="C71" s="165"/>
      <c r="D71" s="165"/>
      <c r="E71" s="165"/>
      <c r="F71" s="165"/>
      <c r="G71" s="165"/>
      <c r="H71" s="165"/>
      <c r="I71" s="165"/>
      <c r="J71" s="165"/>
      <c r="K71" s="165"/>
      <c r="L71" s="165"/>
      <c r="M71" s="165"/>
      <c r="N71" s="165"/>
      <c r="O71" s="165"/>
      <c r="P71" s="165"/>
      <c r="Q71" s="165"/>
    </row>
    <row r="72" spans="1:17">
      <c r="A72" s="165"/>
      <c r="B72" s="165"/>
      <c r="C72" s="165"/>
      <c r="D72" s="165"/>
      <c r="E72" s="165"/>
      <c r="F72" s="165"/>
      <c r="G72" s="165"/>
      <c r="H72" s="165"/>
      <c r="I72" s="165"/>
      <c r="J72" s="165"/>
      <c r="K72" s="165"/>
      <c r="L72" s="165"/>
      <c r="M72" s="165"/>
      <c r="N72" s="165"/>
      <c r="O72" s="165"/>
      <c r="P72" s="165"/>
      <c r="Q72" s="165"/>
    </row>
    <row r="73" spans="1:17">
      <c r="A73" s="165"/>
      <c r="B73" s="165"/>
      <c r="C73" s="165"/>
      <c r="D73" s="165"/>
      <c r="E73" s="165"/>
      <c r="F73" s="165"/>
      <c r="G73" s="165"/>
      <c r="H73" s="165"/>
      <c r="I73" s="165"/>
      <c r="J73" s="165"/>
      <c r="K73" s="165"/>
      <c r="L73" s="165"/>
      <c r="M73" s="165"/>
      <c r="N73" s="165"/>
      <c r="O73" s="165"/>
      <c r="P73" s="165"/>
      <c r="Q73" s="165"/>
    </row>
    <row r="74" spans="1:17">
      <c r="A74" s="165"/>
      <c r="B74" s="165"/>
      <c r="C74" s="165"/>
      <c r="D74" s="165"/>
      <c r="E74" s="165"/>
      <c r="F74" s="165"/>
      <c r="G74" s="165"/>
      <c r="H74" s="165"/>
      <c r="I74" s="165"/>
      <c r="J74" s="165"/>
      <c r="K74" s="165"/>
      <c r="L74" s="165"/>
      <c r="M74" s="165"/>
      <c r="N74" s="165"/>
      <c r="O74" s="165"/>
      <c r="P74" s="165"/>
      <c r="Q74" s="165"/>
    </row>
    <row r="75" spans="1:17">
      <c r="A75" s="165"/>
      <c r="B75" s="165"/>
      <c r="C75" s="165"/>
      <c r="D75" s="165"/>
      <c r="E75" s="165"/>
      <c r="F75" s="165"/>
      <c r="G75" s="165"/>
      <c r="H75" s="165"/>
      <c r="I75" s="165"/>
      <c r="J75" s="165"/>
      <c r="K75" s="165"/>
      <c r="L75" s="165"/>
      <c r="M75" s="165"/>
      <c r="N75" s="165"/>
      <c r="O75" s="165"/>
      <c r="P75" s="165"/>
      <c r="Q75" s="165"/>
    </row>
    <row r="76" spans="1:17">
      <c r="A76" s="165"/>
      <c r="B76" s="165"/>
      <c r="C76" s="165"/>
      <c r="D76" s="165"/>
      <c r="E76" s="165"/>
      <c r="F76" s="165"/>
      <c r="G76" s="165"/>
      <c r="H76" s="165"/>
      <c r="I76" s="165"/>
      <c r="J76" s="165"/>
      <c r="K76" s="165"/>
      <c r="L76" s="165"/>
      <c r="M76" s="165"/>
      <c r="N76" s="165"/>
      <c r="O76" s="165"/>
      <c r="P76" s="165"/>
      <c r="Q76" s="165"/>
    </row>
    <row r="77" spans="1:17">
      <c r="A77" s="165"/>
      <c r="B77" s="165"/>
      <c r="C77" s="165"/>
      <c r="D77" s="165"/>
      <c r="E77" s="165"/>
      <c r="F77" s="165"/>
      <c r="G77" s="165"/>
      <c r="H77" s="165"/>
      <c r="I77" s="165"/>
      <c r="J77" s="165"/>
      <c r="K77" s="165"/>
      <c r="L77" s="165"/>
      <c r="M77" s="165"/>
      <c r="N77" s="165"/>
      <c r="O77" s="165"/>
      <c r="P77" s="165"/>
      <c r="Q77" s="165"/>
    </row>
    <row r="78" spans="1:17">
      <c r="A78" s="165"/>
      <c r="B78" s="165"/>
      <c r="C78" s="165"/>
      <c r="D78" s="165"/>
      <c r="E78" s="165"/>
      <c r="F78" s="165"/>
      <c r="G78" s="165"/>
      <c r="H78" s="165"/>
      <c r="I78" s="165"/>
      <c r="J78" s="165"/>
      <c r="K78" s="165"/>
      <c r="L78" s="165"/>
      <c r="M78" s="165"/>
      <c r="N78" s="165"/>
      <c r="O78" s="165"/>
      <c r="P78" s="165"/>
      <c r="Q78" s="165"/>
    </row>
    <row r="79" spans="1:17">
      <c r="A79" s="165"/>
      <c r="B79" s="165"/>
      <c r="C79" s="165"/>
      <c r="D79" s="165"/>
      <c r="E79" s="165"/>
      <c r="F79" s="165"/>
      <c r="G79" s="165"/>
      <c r="H79" s="165"/>
      <c r="I79" s="165"/>
      <c r="J79" s="165"/>
      <c r="K79" s="165"/>
      <c r="L79" s="165"/>
      <c r="M79" s="165"/>
      <c r="N79" s="165"/>
      <c r="O79" s="165"/>
      <c r="P79" s="165"/>
      <c r="Q79" s="165"/>
    </row>
    <row r="80" spans="1:17">
      <c r="A80" s="165"/>
      <c r="B80" s="165"/>
      <c r="C80" s="165"/>
      <c r="D80" s="165"/>
      <c r="E80" s="165"/>
      <c r="F80" s="165"/>
      <c r="G80" s="165"/>
      <c r="H80" s="165"/>
      <c r="I80" s="165"/>
      <c r="J80" s="165"/>
      <c r="K80" s="165"/>
      <c r="L80" s="165"/>
      <c r="M80" s="165"/>
      <c r="N80" s="165"/>
      <c r="O80" s="165"/>
      <c r="P80" s="165"/>
      <c r="Q80" s="165"/>
    </row>
    <row r="81" spans="1:17">
      <c r="A81" s="165"/>
      <c r="B81" s="165"/>
      <c r="C81" s="165"/>
      <c r="D81" s="165"/>
      <c r="E81" s="165"/>
      <c r="F81" s="165"/>
      <c r="G81" s="165"/>
      <c r="H81" s="165"/>
      <c r="I81" s="165"/>
      <c r="J81" s="165"/>
      <c r="K81" s="165"/>
      <c r="L81" s="165"/>
      <c r="M81" s="165"/>
      <c r="N81" s="165"/>
      <c r="O81" s="165"/>
      <c r="P81" s="165"/>
      <c r="Q81" s="165"/>
    </row>
    <row r="82" spans="1:17">
      <c r="A82" s="165"/>
      <c r="B82" s="165"/>
      <c r="C82" s="165"/>
      <c r="D82" s="165"/>
      <c r="E82" s="165"/>
      <c r="F82" s="165"/>
      <c r="G82" s="165"/>
      <c r="H82" s="165"/>
      <c r="I82" s="165"/>
      <c r="J82" s="165"/>
      <c r="K82" s="165"/>
      <c r="L82" s="165"/>
      <c r="M82" s="165"/>
      <c r="N82" s="165"/>
      <c r="O82" s="165"/>
      <c r="P82" s="165"/>
      <c r="Q82" s="165"/>
    </row>
    <row r="83" spans="1:17">
      <c r="A83" s="165"/>
      <c r="B83" s="165"/>
      <c r="C83" s="165"/>
      <c r="D83" s="165"/>
      <c r="E83" s="165"/>
      <c r="F83" s="165"/>
      <c r="G83" s="165"/>
      <c r="H83" s="165"/>
      <c r="I83" s="165"/>
      <c r="J83" s="165"/>
      <c r="K83" s="165"/>
      <c r="L83" s="165"/>
      <c r="M83" s="165"/>
      <c r="N83" s="165"/>
      <c r="O83" s="165"/>
      <c r="P83" s="165"/>
      <c r="Q83" s="165"/>
    </row>
    <row r="84" spans="1:17">
      <c r="A84" s="165"/>
      <c r="B84" s="165"/>
      <c r="C84" s="165"/>
      <c r="D84" s="165"/>
      <c r="E84" s="165"/>
      <c r="F84" s="165"/>
      <c r="G84" s="165"/>
      <c r="H84" s="165"/>
      <c r="I84" s="165"/>
      <c r="J84" s="165"/>
      <c r="K84" s="165"/>
      <c r="L84" s="165"/>
      <c r="M84" s="165"/>
      <c r="N84" s="165"/>
      <c r="O84" s="165"/>
      <c r="P84" s="165"/>
      <c r="Q84" s="165"/>
    </row>
  </sheetData>
  <sheetProtection algorithmName="SHA-512" hashValue="WhU2dbd3tuLKknFq30RGkp3y+Lo7O/NNS6gA71Ni5bzIeuBV9DGTkfiUfeHdAL7+XDqSi9MEEsj5Q7V6ZXAGmg==" saltValue="Fd7m3tLHB88W2Z5qBxHmqQ==" spinCount="100000" sheet="1" objects="1" scenarios="1"/>
  <pageMargins left="0.75" right="0.75" top="1" bottom="1" header="0.5" footer="0.5"/>
  <pageSetup orientation="portrait" horizontalDpi="4294967292" verticalDpi="4294967292"/>
  <headerFooter alignWithMargins="0">
    <oddHeader>&amp;C&amp;"Calibri"&amp;10&amp;K000000 Public&amp;1#_x000D_</oddHeader>
    <oddFooter>&amp;C_x000D_&amp;1#&amp;"Calibri"&amp;10&amp;K000000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V19"/>
  <sheetViews>
    <sheetView workbookViewId="0">
      <selection activeCell="D58" sqref="D58"/>
    </sheetView>
  </sheetViews>
  <sheetFormatPr defaultRowHeight="15"/>
  <cols>
    <col min="10" max="10" width="12.28515625" hidden="1" customWidth="1"/>
    <col min="11" max="11" width="9.140625" hidden="1" customWidth="1"/>
  </cols>
  <sheetData>
    <row r="1" spans="1:22" s="5" customFormat="1" ht="16.5" thickBot="1">
      <c r="A1" s="2" t="s">
        <v>114</v>
      </c>
      <c r="B1" s="3"/>
      <c r="C1" s="3"/>
      <c r="D1" s="3"/>
      <c r="E1" s="3"/>
      <c r="F1" s="3"/>
      <c r="G1" s="3"/>
      <c r="H1" s="3"/>
      <c r="I1" s="3"/>
      <c r="J1" s="3"/>
      <c r="K1" s="3"/>
      <c r="L1" s="3"/>
      <c r="M1" s="3"/>
      <c r="N1" s="3"/>
      <c r="O1" s="3"/>
      <c r="P1" s="3"/>
      <c r="Q1" s="3"/>
      <c r="R1" s="3"/>
      <c r="S1" s="3"/>
      <c r="T1" s="3"/>
      <c r="U1" s="3"/>
      <c r="V1" s="4"/>
    </row>
    <row r="2" spans="1:22" s="5" customFormat="1" ht="12.75">
      <c r="B2" s="6" t="s">
        <v>51</v>
      </c>
      <c r="V2" s="4"/>
    </row>
    <row r="3" spans="1:22" s="5" customFormat="1" ht="12.75">
      <c r="V3" s="4"/>
    </row>
    <row r="4" spans="1:22" s="5" customFormat="1" ht="12.75">
      <c r="D4" s="7" t="s">
        <v>115</v>
      </c>
      <c r="E4" s="70">
        <v>0.03</v>
      </c>
      <c r="F4" s="5" t="s">
        <v>44</v>
      </c>
      <c r="V4" s="4"/>
    </row>
    <row r="5" spans="1:22" s="5" customFormat="1" ht="12.75">
      <c r="D5" s="7" t="s">
        <v>116</v>
      </c>
      <c r="E5" s="70">
        <v>0.03</v>
      </c>
      <c r="F5" s="5" t="s">
        <v>44</v>
      </c>
      <c r="V5" s="4"/>
    </row>
    <row r="6" spans="1:22" s="5" customFormat="1" ht="12.75">
      <c r="D6" s="7" t="s">
        <v>117</v>
      </c>
      <c r="E6" s="70">
        <v>5.0000000000000001E-3</v>
      </c>
      <c r="F6" s="5" t="s">
        <v>44</v>
      </c>
      <c r="V6" s="4"/>
    </row>
    <row r="7" spans="1:22" s="5" customFormat="1" ht="12.75">
      <c r="D7" s="7" t="s">
        <v>118</v>
      </c>
      <c r="E7" s="70">
        <v>0.02</v>
      </c>
      <c r="F7" s="5" t="s">
        <v>44</v>
      </c>
      <c r="V7" s="4"/>
    </row>
    <row r="8" spans="1:22" s="5" customFormat="1" ht="12.75">
      <c r="D8" s="7" t="s">
        <v>119</v>
      </c>
      <c r="E8" s="70">
        <v>1.2500000000000001E-2</v>
      </c>
      <c r="F8" s="5" t="s">
        <v>44</v>
      </c>
      <c r="V8" s="4"/>
    </row>
    <row r="11" spans="1:22" s="5" customFormat="1" ht="16.5" thickBot="1">
      <c r="A11" s="2" t="s">
        <v>120</v>
      </c>
      <c r="B11" s="3"/>
      <c r="C11" s="3"/>
      <c r="D11" s="3"/>
      <c r="E11" s="3"/>
      <c r="F11" s="3"/>
      <c r="G11" s="3"/>
      <c r="H11" s="3"/>
      <c r="I11" s="3"/>
      <c r="J11" s="3"/>
      <c r="K11" s="3"/>
      <c r="L11" s="3"/>
      <c r="M11" s="3"/>
      <c r="N11" s="3"/>
      <c r="O11" s="3"/>
      <c r="P11" s="3"/>
      <c r="Q11" s="3"/>
      <c r="R11" s="3"/>
      <c r="S11" s="3"/>
      <c r="T11" s="3"/>
      <c r="U11" s="3"/>
      <c r="V11" s="4"/>
    </row>
    <row r="12" spans="1:22" s="5" customFormat="1" ht="12.75"/>
    <row r="13" spans="1:22" s="5" customFormat="1" ht="12.75">
      <c r="B13" s="5" t="s">
        <v>121</v>
      </c>
      <c r="F13" s="20" t="s">
        <v>122</v>
      </c>
      <c r="H13" s="71">
        <v>30</v>
      </c>
      <c r="I13" s="21" t="s">
        <v>153</v>
      </c>
      <c r="J13" s="41">
        <f>'Selling Price'!D8*'Input Summary'!C15</f>
        <v>243355000</v>
      </c>
      <c r="K13" s="5">
        <f>H13/365</f>
        <v>8.2191780821917804E-2</v>
      </c>
      <c r="V13" s="4"/>
    </row>
    <row r="14" spans="1:22" s="5" customFormat="1" ht="12.75">
      <c r="B14" s="5" t="s">
        <v>235</v>
      </c>
      <c r="F14" s="20" t="s">
        <v>122</v>
      </c>
      <c r="H14" s="71">
        <v>30</v>
      </c>
      <c r="I14" s="21" t="s">
        <v>153</v>
      </c>
      <c r="J14" s="74">
        <f ca="1">'Cost Summary'!G35+'Cost Summary'!G43+'Cost Summary'!G52+'Cost Summary'!G56+'Cost Summary'!G18+'Cost Summary'!G20</f>
        <v>8067556.6536819274</v>
      </c>
      <c r="K14" s="5">
        <f>H14/365</f>
        <v>8.2191780821917804E-2</v>
      </c>
      <c r="V14" s="4"/>
    </row>
    <row r="15" spans="1:22" s="5" customFormat="1" ht="12.75">
      <c r="B15" s="5" t="s">
        <v>123</v>
      </c>
      <c r="F15" s="20" t="s">
        <v>122</v>
      </c>
      <c r="H15" s="71">
        <v>30</v>
      </c>
      <c r="I15" s="21" t="s">
        <v>153</v>
      </c>
      <c r="J15" s="74">
        <f ca="1">'Cost Summary'!G14+'Cost Summary'!G18+'Cost Summary'!G20</f>
        <v>35055099.61003527</v>
      </c>
      <c r="K15" s="5">
        <f>-H15/365</f>
        <v>-8.2191780821917804E-2</v>
      </c>
      <c r="V15" s="4"/>
    </row>
    <row r="16" spans="1:22">
      <c r="B16" s="5" t="str">
        <f>'General Input'!D3&amp;" Inventory"</f>
        <v>Lithium Inventory</v>
      </c>
      <c r="F16" s="20" t="s">
        <v>122</v>
      </c>
      <c r="H16" s="71">
        <v>30</v>
      </c>
      <c r="I16" s="21" t="s">
        <v>153</v>
      </c>
      <c r="J16" s="41">
        <f>'Input Summary'!C15*'Input Summary'!C17</f>
        <v>280295050</v>
      </c>
      <c r="K16" s="5">
        <f>H16/365</f>
        <v>8.2191780821917804E-2</v>
      </c>
    </row>
    <row r="17" spans="2:11">
      <c r="B17" s="5" t="s">
        <v>178</v>
      </c>
      <c r="F17" s="20" t="s">
        <v>122</v>
      </c>
      <c r="H17" s="71">
        <v>15</v>
      </c>
      <c r="I17" s="21" t="s">
        <v>153</v>
      </c>
      <c r="J17" s="41">
        <f ca="1">+'Cost Summary'!G14</f>
        <v>30548397.669999998</v>
      </c>
      <c r="K17" s="5">
        <f>H17/365</f>
        <v>4.1095890410958902E-2</v>
      </c>
    </row>
    <row r="18" spans="2:11">
      <c r="H18" s="21"/>
      <c r="I18" s="21"/>
      <c r="J18" s="69"/>
      <c r="K18" s="69"/>
    </row>
    <row r="19" spans="2:11">
      <c r="J19" s="69"/>
      <c r="K19" s="5">
        <f ca="1">SUMPRODUCT(J13:J17,K13:K17)</f>
        <v>42076989.52427233</v>
      </c>
    </row>
  </sheetData>
  <sheetProtection algorithmName="SHA-512" hashValue="LGyAlfedHSX8MWgY05XNKqpww4PaVn6rvb0/K4Vmn0hE3orhez7TOFtkRKANER0gTDTZ5/XT4f93WaG1xDIwRA==" saltValue="7bfnx+AZ1w/Nu3Jf0sry/w==" spinCount="100000" sheet="1" objects="1" scenarios="1"/>
  <pageMargins left="0.7" right="0.7" top="0.75" bottom="0.75" header="0.3" footer="0.3"/>
  <headerFooter>
    <oddHeader>&amp;C&amp;"Calibri"&amp;10&amp;K000000 Public&amp;1#_x000D_</oddHeader>
    <oddFooter>&amp;C_x000D_&amp;1#&amp;"Calibri"&amp;10&amp;K000000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V15"/>
  <sheetViews>
    <sheetView workbookViewId="0">
      <selection activeCell="H12" sqref="H12"/>
    </sheetView>
  </sheetViews>
  <sheetFormatPr defaultRowHeight="15"/>
  <sheetData>
    <row r="1" spans="1:22" s="5" customFormat="1" ht="16.5" thickBot="1">
      <c r="A1" s="2" t="s">
        <v>22</v>
      </c>
      <c r="B1" s="3"/>
      <c r="C1" s="3"/>
      <c r="D1" s="3"/>
      <c r="E1" s="3"/>
      <c r="F1" s="3"/>
      <c r="G1" s="3"/>
      <c r="H1" s="3"/>
      <c r="I1" s="3"/>
      <c r="J1" s="3"/>
      <c r="K1" s="3"/>
      <c r="L1" s="3"/>
      <c r="M1" s="3"/>
      <c r="N1" s="3"/>
      <c r="O1" s="3"/>
      <c r="P1" s="3"/>
      <c r="Q1" s="3"/>
      <c r="R1" s="3"/>
      <c r="S1" s="3"/>
      <c r="T1" s="3"/>
      <c r="U1" s="3"/>
      <c r="V1" s="4"/>
    </row>
    <row r="2" spans="1:22" s="5" customFormat="1" ht="15.75">
      <c r="A2" s="73"/>
      <c r="V2" s="4"/>
    </row>
    <row r="3" spans="1:22" s="5" customFormat="1" ht="12.75">
      <c r="E3" s="5" t="s">
        <v>252</v>
      </c>
      <c r="V3" s="4"/>
    </row>
    <row r="4" spans="1:22" s="5" customFormat="1" ht="12.75">
      <c r="C4" s="22" t="s">
        <v>125</v>
      </c>
      <c r="D4" s="66">
        <f>'General Input'!D11+'General Input'!D7</f>
        <v>2025</v>
      </c>
      <c r="E4" s="77">
        <v>1</v>
      </c>
      <c r="G4" s="5" t="s">
        <v>192</v>
      </c>
      <c r="V4" s="4"/>
    </row>
    <row r="5" spans="1:22" s="5" customFormat="1" ht="12.75">
      <c r="D5" s="66">
        <f>D4+1</f>
        <v>2026</v>
      </c>
      <c r="E5" s="77">
        <v>0</v>
      </c>
      <c r="M5" s="21"/>
      <c r="V5" s="4"/>
    </row>
    <row r="6" spans="1:22" s="5" customFormat="1" ht="12.75">
      <c r="D6" s="66">
        <f>D5+1</f>
        <v>2027</v>
      </c>
      <c r="E6" s="77">
        <v>0</v>
      </c>
      <c r="M6" s="21"/>
      <c r="V6" s="4"/>
    </row>
    <row r="7" spans="1:22" s="5" customFormat="1" ht="12.75">
      <c r="D7" s="66">
        <f>D6+1</f>
        <v>2028</v>
      </c>
      <c r="E7" s="77">
        <v>0</v>
      </c>
      <c r="G7" s="164" t="str">
        <f>IF(SUM(E4:E8)=1,"","WARNING!: Values do not add to 100%.")</f>
        <v/>
      </c>
      <c r="M7" s="21"/>
      <c r="V7" s="4"/>
    </row>
    <row r="8" spans="1:22" s="5" customFormat="1" ht="12.75">
      <c r="M8" s="21"/>
      <c r="V8" s="4"/>
    </row>
    <row r="9" spans="1:22" s="5" customFormat="1" ht="12.75">
      <c r="F9" s="7" t="s">
        <v>23</v>
      </c>
      <c r="G9" s="67">
        <v>0.05</v>
      </c>
      <c r="H9" s="5" t="s">
        <v>130</v>
      </c>
      <c r="M9" s="21"/>
      <c r="V9" s="4"/>
    </row>
    <row r="10" spans="1:22" s="5" customFormat="1" ht="12.75">
      <c r="F10" s="7" t="s">
        <v>24</v>
      </c>
      <c r="G10" s="67">
        <v>0.05</v>
      </c>
      <c r="H10" s="5" t="s">
        <v>130</v>
      </c>
      <c r="I10" s="7"/>
      <c r="M10" s="21"/>
      <c r="V10" s="4"/>
    </row>
    <row r="11" spans="1:22" s="5" customFormat="1" ht="12.75">
      <c r="F11" s="7" t="s">
        <v>126</v>
      </c>
      <c r="G11" s="68">
        <v>0</v>
      </c>
      <c r="I11" s="7"/>
      <c r="M11" s="21"/>
      <c r="V11" s="4"/>
    </row>
    <row r="12" spans="1:22">
      <c r="E12" s="5"/>
      <c r="F12" s="7" t="s">
        <v>127</v>
      </c>
      <c r="G12" s="67">
        <v>0.2</v>
      </c>
      <c r="H12" s="5" t="s">
        <v>131</v>
      </c>
      <c r="I12" s="7"/>
    </row>
    <row r="13" spans="1:22">
      <c r="E13" s="5"/>
      <c r="F13" s="7" t="s">
        <v>128</v>
      </c>
      <c r="G13" s="67">
        <v>0.02</v>
      </c>
      <c r="H13" s="5" t="s">
        <v>47</v>
      </c>
      <c r="I13" s="5"/>
    </row>
    <row r="14" spans="1:22">
      <c r="E14" s="5"/>
      <c r="F14" s="7" t="s">
        <v>129</v>
      </c>
      <c r="G14" s="68">
        <v>0</v>
      </c>
      <c r="H14" s="5"/>
      <c r="I14" s="5"/>
    </row>
    <row r="15" spans="1:22">
      <c r="E15" s="5"/>
      <c r="F15" s="7" t="s">
        <v>25</v>
      </c>
      <c r="G15" s="67">
        <v>0.15</v>
      </c>
      <c r="H15" s="5" t="s">
        <v>47</v>
      </c>
      <c r="I15" s="5"/>
    </row>
  </sheetData>
  <sheetProtection algorithmName="SHA-512" hashValue="JiRBxwlR7ERR12QMlN3EzNVbmMpcZ5phzCxkDxoL50W5vL1xwQQ9TL+A5V4hWBswdbz+c3qro0RMcocw39zyfg==" saltValue="RgHfxsPSuk0o9kl+REl5Gg==" spinCount="100000" sheet="1" objects="1" scenarios="1"/>
  <pageMargins left="0.7" right="0.7" top="0.75" bottom="0.75" header="0.3" footer="0.3"/>
  <pageSetup orientation="portrait"/>
  <headerFooter>
    <oddHeader>&amp;C&amp;"Calibri"&amp;10&amp;K000000 Public&amp;1#_x000D_</oddHeader>
    <oddFooter>&amp;C_x000D_&amp;1#&amp;"Calibri"&amp;10&amp;K000000 Public</oddFooter>
  </headerFooter>
  <ignoredErrors>
    <ignoredError sqref="D4:D7"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P102"/>
  <sheetViews>
    <sheetView zoomScale="90" zoomScaleNormal="90" workbookViewId="0">
      <selection activeCell="I36" sqref="I36"/>
    </sheetView>
  </sheetViews>
  <sheetFormatPr defaultColWidth="8.85546875" defaultRowHeight="15"/>
  <cols>
    <col min="1" max="1" width="21.85546875" customWidth="1"/>
    <col min="2" max="2" width="17.42578125" customWidth="1"/>
    <col min="3" max="4" width="17.28515625" style="1" customWidth="1"/>
    <col min="5" max="5" width="24.7109375" style="1" customWidth="1"/>
    <col min="8" max="8" width="9.140625" hidden="1" customWidth="1"/>
    <col min="10" max="10" width="11.140625" customWidth="1"/>
  </cols>
  <sheetData>
    <row r="1" spans="1:16" s="10" customFormat="1" ht="15.75">
      <c r="A1" s="37" t="s">
        <v>41</v>
      </c>
      <c r="B1" s="9"/>
      <c r="C1" s="25"/>
      <c r="D1" s="25"/>
      <c r="E1" s="25"/>
      <c r="F1" s="9"/>
      <c r="G1" s="9"/>
    </row>
    <row r="2" spans="1:16" s="10" customFormat="1" ht="15.75">
      <c r="A2" s="18"/>
      <c r="B2" s="18"/>
      <c r="C2" s="32"/>
      <c r="D2" s="32"/>
      <c r="E2" s="32"/>
      <c r="F2" s="18"/>
      <c r="G2" s="18"/>
      <c r="J2" s="33" t="s">
        <v>143</v>
      </c>
    </row>
    <row r="3" spans="1:16" s="10" customFormat="1" ht="15.75">
      <c r="A3" s="18"/>
      <c r="B3" s="18"/>
      <c r="C3" s="32"/>
      <c r="D3" s="32"/>
      <c r="E3" s="32"/>
      <c r="F3" s="18"/>
      <c r="G3" s="18"/>
      <c r="H3" s="10" t="s">
        <v>136</v>
      </c>
      <c r="J3" s="34" t="s">
        <v>144</v>
      </c>
    </row>
    <row r="4" spans="1:16" s="10" customFormat="1" ht="12.75">
      <c r="C4" s="26"/>
      <c r="D4" s="26"/>
      <c r="E4" s="26"/>
      <c r="H4" s="10" t="s">
        <v>61</v>
      </c>
      <c r="J4" s="10" t="s">
        <v>145</v>
      </c>
    </row>
    <row r="5" spans="1:16" s="10" customFormat="1" ht="12.75">
      <c r="A5" s="11" t="s">
        <v>42</v>
      </c>
      <c r="B5" s="27" t="s">
        <v>135</v>
      </c>
      <c r="C5" s="27" t="s">
        <v>132</v>
      </c>
      <c r="D5" s="27" t="s">
        <v>133</v>
      </c>
      <c r="E5" s="27" t="s">
        <v>21</v>
      </c>
      <c r="G5" s="11"/>
      <c r="H5" s="10" t="s">
        <v>137</v>
      </c>
    </row>
    <row r="6" spans="1:16" s="10" customFormat="1" ht="12.75">
      <c r="A6" s="18" t="s">
        <v>67</v>
      </c>
      <c r="B6" s="10" t="s">
        <v>217</v>
      </c>
      <c r="C6" s="26"/>
      <c r="D6" s="26" t="s">
        <v>134</v>
      </c>
      <c r="E6" s="26"/>
      <c r="H6" s="10" t="s">
        <v>138</v>
      </c>
    </row>
    <row r="7" spans="1:16" s="10" customFormat="1" ht="12.75">
      <c r="A7" s="82" t="s">
        <v>370</v>
      </c>
      <c r="B7" s="82" t="s">
        <v>136</v>
      </c>
      <c r="C7" s="76">
        <f>800/567*174628.33*1.05</f>
        <v>258708.637037037</v>
      </c>
      <c r="D7" s="83">
        <v>4.16</v>
      </c>
      <c r="E7" s="78">
        <f ca="1">IF(D7="",3.21,D7)*C7*$H$11</f>
        <v>1076227.9300740738</v>
      </c>
      <c r="G7" s="19"/>
      <c r="H7" s="10" t="s">
        <v>139</v>
      </c>
      <c r="L7" s="12" t="s">
        <v>146</v>
      </c>
      <c r="M7" s="84">
        <v>0.71</v>
      </c>
      <c r="N7" s="10" t="s">
        <v>152</v>
      </c>
    </row>
    <row r="8" spans="1:16" s="10" customFormat="1" ht="12.75">
      <c r="A8" s="79" t="s">
        <v>371</v>
      </c>
      <c r="B8" s="79" t="s">
        <v>136</v>
      </c>
      <c r="C8" s="80">
        <f>800/567*169060.26*1.05</f>
        <v>250459.64444444445</v>
      </c>
      <c r="D8" s="81">
        <v>4.16</v>
      </c>
      <c r="E8" s="174">
        <f t="shared" ref="E8:E44" ca="1" si="0">IF(D8="",3.21,D8)*C8*$H$11</f>
        <v>1041912.120888889</v>
      </c>
      <c r="G8" s="19"/>
      <c r="H8" s="10" t="s">
        <v>140</v>
      </c>
      <c r="L8" s="12" t="s">
        <v>147</v>
      </c>
      <c r="M8" s="84">
        <v>0.54</v>
      </c>
      <c r="N8" s="10" t="s">
        <v>152</v>
      </c>
    </row>
    <row r="9" spans="1:16" s="10" customFormat="1" ht="12.75">
      <c r="A9" s="82" t="s">
        <v>373</v>
      </c>
      <c r="B9" s="82" t="s">
        <v>136</v>
      </c>
      <c r="C9" s="76">
        <f>800/567*169568.61*1.05</f>
        <v>251212.75555555554</v>
      </c>
      <c r="D9" s="83">
        <v>4.16</v>
      </c>
      <c r="E9" s="78">
        <f t="shared" ca="1" si="0"/>
        <v>1045045.0631111111</v>
      </c>
      <c r="G9" s="19"/>
      <c r="H9" s="10" t="s">
        <v>141</v>
      </c>
      <c r="L9" s="12" t="s">
        <v>148</v>
      </c>
      <c r="M9" s="84">
        <v>0.09</v>
      </c>
      <c r="N9" s="10" t="s">
        <v>152</v>
      </c>
    </row>
    <row r="10" spans="1:16" s="10" customFormat="1" ht="12.75">
      <c r="A10" s="79" t="s">
        <v>372</v>
      </c>
      <c r="B10" s="79" t="s">
        <v>136</v>
      </c>
      <c r="C10" s="80">
        <f>800/567*168458.42*1.05</f>
        <v>249568.02962962963</v>
      </c>
      <c r="D10" s="81">
        <v>4.16</v>
      </c>
      <c r="E10" s="174">
        <f t="shared" ca="1" si="0"/>
        <v>1038203.0032592593</v>
      </c>
      <c r="G10" s="19"/>
      <c r="L10" s="12" t="s">
        <v>149</v>
      </c>
      <c r="M10" s="84">
        <v>0.56999999999999995</v>
      </c>
      <c r="N10" s="10" t="s">
        <v>152</v>
      </c>
    </row>
    <row r="11" spans="1:16" s="10" customFormat="1" ht="12.75">
      <c r="A11" s="82" t="s">
        <v>374</v>
      </c>
      <c r="B11" s="82" t="s">
        <v>136</v>
      </c>
      <c r="C11" s="76">
        <v>254663</v>
      </c>
      <c r="D11" s="83">
        <v>3.17</v>
      </c>
      <c r="E11" s="78">
        <f t="shared" ca="1" si="0"/>
        <v>807281.71</v>
      </c>
      <c r="G11" s="19"/>
      <c r="H11" s="10">
        <f ca="1">_xlfn.SHEETS('Input Summary'!$C$5)</f>
        <v>1</v>
      </c>
      <c r="J11" s="17"/>
      <c r="K11" s="17"/>
      <c r="L11" s="35" t="s">
        <v>150</v>
      </c>
      <c r="M11" s="85">
        <v>0.3</v>
      </c>
      <c r="N11" s="17" t="s">
        <v>152</v>
      </c>
      <c r="O11" s="17"/>
      <c r="P11" s="17"/>
    </row>
    <row r="12" spans="1:16" s="10" customFormat="1" ht="12.75">
      <c r="A12" s="79" t="s">
        <v>375</v>
      </c>
      <c r="B12" s="79" t="s">
        <v>136</v>
      </c>
      <c r="C12" s="80">
        <v>123849</v>
      </c>
      <c r="D12" s="81">
        <v>3.17</v>
      </c>
      <c r="E12" s="174">
        <f t="shared" ca="1" si="0"/>
        <v>392601.33</v>
      </c>
      <c r="G12" s="19"/>
      <c r="L12" s="12"/>
      <c r="M12" s="18"/>
    </row>
    <row r="13" spans="1:16" s="10" customFormat="1" ht="12.75">
      <c r="A13" s="82" t="s">
        <v>376</v>
      </c>
      <c r="B13" s="82" t="s">
        <v>136</v>
      </c>
      <c r="C13" s="76">
        <v>302944</v>
      </c>
      <c r="D13" s="83">
        <v>3.17</v>
      </c>
      <c r="E13" s="78">
        <f t="shared" ca="1" si="0"/>
        <v>960332.48</v>
      </c>
      <c r="G13" s="19"/>
      <c r="L13" s="12" t="s">
        <v>151</v>
      </c>
      <c r="M13" s="36">
        <f>1+SUM(M7:M11)</f>
        <v>3.21</v>
      </c>
      <c r="N13" s="10" t="s">
        <v>152</v>
      </c>
    </row>
    <row r="14" spans="1:16" s="10" customFormat="1" ht="12.75">
      <c r="A14" s="79" t="s">
        <v>377</v>
      </c>
      <c r="B14" s="79" t="s">
        <v>136</v>
      </c>
      <c r="C14" s="80">
        <v>419146</v>
      </c>
      <c r="D14" s="81">
        <v>3.17</v>
      </c>
      <c r="E14" s="174">
        <f t="shared" ca="1" si="0"/>
        <v>1328692.82</v>
      </c>
      <c r="G14" s="19"/>
    </row>
    <row r="15" spans="1:16" s="10" customFormat="1" ht="12.75">
      <c r="A15" s="82" t="s">
        <v>378</v>
      </c>
      <c r="B15" s="82" t="s">
        <v>61</v>
      </c>
      <c r="C15" s="76">
        <f>800/567*21655.97</f>
        <v>30555.160493827159</v>
      </c>
      <c r="D15" s="83">
        <v>3.3</v>
      </c>
      <c r="E15" s="78">
        <f t="shared" ca="1" si="0"/>
        <v>100832.02962962961</v>
      </c>
      <c r="G15" s="19"/>
    </row>
    <row r="16" spans="1:16" s="10" customFormat="1" ht="12.75">
      <c r="A16" s="79" t="s">
        <v>379</v>
      </c>
      <c r="B16" s="79" t="s">
        <v>61</v>
      </c>
      <c r="C16" s="80">
        <f>800/567*21389.9</f>
        <v>30179.753086419754</v>
      </c>
      <c r="D16" s="81">
        <v>3.3</v>
      </c>
      <c r="E16" s="174">
        <f t="shared" ca="1" si="0"/>
        <v>99593.185185185182</v>
      </c>
      <c r="G16" s="19"/>
    </row>
    <row r="17" spans="1:7" s="10" customFormat="1" ht="12.75">
      <c r="A17" s="82" t="s">
        <v>380</v>
      </c>
      <c r="B17" s="82" t="s">
        <v>61</v>
      </c>
      <c r="C17" s="76">
        <f>800/567*21653.52</f>
        <v>30551.703703703704</v>
      </c>
      <c r="D17" s="83">
        <v>3.3</v>
      </c>
      <c r="E17" s="78">
        <f t="shared" ca="1" si="0"/>
        <v>100820.62222222221</v>
      </c>
      <c r="G17" s="19"/>
    </row>
    <row r="18" spans="1:7" s="10" customFormat="1" ht="12.75">
      <c r="A18" s="79" t="s">
        <v>381</v>
      </c>
      <c r="B18" s="79" t="s">
        <v>61</v>
      </c>
      <c r="C18" s="80">
        <f>800/567*20749.02</f>
        <v>29275.513227513227</v>
      </c>
      <c r="D18" s="81">
        <v>3.3</v>
      </c>
      <c r="E18" s="174">
        <f t="shared" ca="1" si="0"/>
        <v>96609.193650793648</v>
      </c>
      <c r="G18" s="19"/>
    </row>
    <row r="19" spans="1:7" s="10" customFormat="1" ht="12.75">
      <c r="A19" s="82" t="s">
        <v>365</v>
      </c>
      <c r="B19" s="82" t="s">
        <v>61</v>
      </c>
      <c r="C19" s="76">
        <f>800/567*23400</f>
        <v>33015.87301587301</v>
      </c>
      <c r="D19" s="83">
        <v>2.0299999999999998</v>
      </c>
      <c r="E19" s="78">
        <f t="shared" ca="1" si="0"/>
        <v>67022.222222222204</v>
      </c>
      <c r="G19" s="19"/>
    </row>
    <row r="20" spans="1:7" s="10" customFormat="1" ht="12.75">
      <c r="A20" s="79" t="s">
        <v>366</v>
      </c>
      <c r="B20" s="79" t="s">
        <v>61</v>
      </c>
      <c r="C20" s="80">
        <f>800/567*23400</f>
        <v>33015.87301587301</v>
      </c>
      <c r="D20" s="81">
        <v>2.0299999999999998</v>
      </c>
      <c r="E20" s="174">
        <f t="shared" ca="1" si="0"/>
        <v>67022.222222222204</v>
      </c>
      <c r="G20" s="19"/>
    </row>
    <row r="21" spans="1:7" s="10" customFormat="1" ht="12.75">
      <c r="A21" s="82" t="s">
        <v>390</v>
      </c>
      <c r="B21" s="82" t="s">
        <v>136</v>
      </c>
      <c r="C21" s="76">
        <f t="shared" ref="C21:C26" si="1">800/567*255862.38*1.05</f>
        <v>379055.37777777779</v>
      </c>
      <c r="D21" s="83">
        <v>4.16</v>
      </c>
      <c r="E21" s="78">
        <f t="shared" ca="1" si="0"/>
        <v>1576870.3715555556</v>
      </c>
      <c r="G21" s="19"/>
    </row>
    <row r="22" spans="1:7" s="10" customFormat="1" ht="12.75">
      <c r="A22" s="79" t="s">
        <v>391</v>
      </c>
      <c r="B22" s="79" t="s">
        <v>136</v>
      </c>
      <c r="C22" s="80">
        <f t="shared" si="1"/>
        <v>379055.37777777779</v>
      </c>
      <c r="D22" s="81">
        <v>4.16</v>
      </c>
      <c r="E22" s="174">
        <f t="shared" ca="1" si="0"/>
        <v>1576870.3715555556</v>
      </c>
      <c r="G22" s="19"/>
    </row>
    <row r="23" spans="1:7" s="10" customFormat="1" ht="12.75">
      <c r="A23" s="82" t="s">
        <v>392</v>
      </c>
      <c r="B23" s="82" t="s">
        <v>136</v>
      </c>
      <c r="C23" s="76">
        <f t="shared" si="1"/>
        <v>379055.37777777779</v>
      </c>
      <c r="D23" s="83">
        <v>4.16</v>
      </c>
      <c r="E23" s="78">
        <f t="shared" ca="1" si="0"/>
        <v>1576870.3715555556</v>
      </c>
      <c r="G23" s="19"/>
    </row>
    <row r="24" spans="1:7" s="10" customFormat="1" ht="12.75">
      <c r="A24" s="79" t="s">
        <v>394</v>
      </c>
      <c r="B24" s="79" t="s">
        <v>136</v>
      </c>
      <c r="C24" s="80">
        <f t="shared" si="1"/>
        <v>379055.37777777779</v>
      </c>
      <c r="D24" s="81">
        <v>4.16</v>
      </c>
      <c r="E24" s="174">
        <f t="shared" ca="1" si="0"/>
        <v>1576870.3715555556</v>
      </c>
      <c r="G24" s="19"/>
    </row>
    <row r="25" spans="1:7" s="10" customFormat="1" ht="12.75">
      <c r="A25" s="82" t="s">
        <v>393</v>
      </c>
      <c r="B25" s="82" t="s">
        <v>136</v>
      </c>
      <c r="C25" s="76">
        <f t="shared" si="1"/>
        <v>379055.37777777779</v>
      </c>
      <c r="D25" s="83">
        <v>4.16</v>
      </c>
      <c r="E25" s="78">
        <f t="shared" ca="1" si="0"/>
        <v>1576870.3715555556</v>
      </c>
      <c r="G25" s="19"/>
    </row>
    <row r="26" spans="1:7" s="10" customFormat="1" ht="12.75">
      <c r="A26" s="79" t="s">
        <v>395</v>
      </c>
      <c r="B26" s="79" t="s">
        <v>136</v>
      </c>
      <c r="C26" s="80">
        <f t="shared" si="1"/>
        <v>379055.37777777779</v>
      </c>
      <c r="D26" s="81">
        <v>4.16</v>
      </c>
      <c r="E26" s="174">
        <f t="shared" ca="1" si="0"/>
        <v>1576870.3715555556</v>
      </c>
      <c r="G26" s="19"/>
    </row>
    <row r="27" spans="1:7" s="10" customFormat="1" ht="12.75">
      <c r="A27" s="82" t="s">
        <v>401</v>
      </c>
      <c r="B27" s="82" t="s">
        <v>61</v>
      </c>
      <c r="C27" s="76">
        <v>20000</v>
      </c>
      <c r="D27" s="83">
        <v>1</v>
      </c>
      <c r="E27" s="78">
        <f t="shared" ca="1" si="0"/>
        <v>20000</v>
      </c>
      <c r="G27" s="19"/>
    </row>
    <row r="28" spans="1:7" s="10" customFormat="1" ht="12.75">
      <c r="A28" s="79" t="s">
        <v>382</v>
      </c>
      <c r="B28" s="79" t="s">
        <v>61</v>
      </c>
      <c r="C28" s="80">
        <f>10190.87*800/567</f>
        <v>14378.652557319225</v>
      </c>
      <c r="D28" s="81">
        <v>3.3</v>
      </c>
      <c r="E28" s="174">
        <f t="shared" ca="1" si="0"/>
        <v>47449.553439153438</v>
      </c>
      <c r="G28" s="19"/>
    </row>
    <row r="29" spans="1:7" s="10" customFormat="1" ht="12.75">
      <c r="A29" s="82" t="s">
        <v>398</v>
      </c>
      <c r="B29" s="82" t="s">
        <v>138</v>
      </c>
      <c r="C29" s="76">
        <f>800/567*104579.48</f>
        <v>147554.82186948851</v>
      </c>
      <c r="D29" s="83">
        <v>3</v>
      </c>
      <c r="E29" s="78">
        <f t="shared" ca="1" si="0"/>
        <v>442664.46560846554</v>
      </c>
      <c r="G29" s="19"/>
    </row>
    <row r="30" spans="1:7" s="10" customFormat="1" ht="12.75">
      <c r="A30" s="79" t="s">
        <v>396</v>
      </c>
      <c r="B30" s="79" t="s">
        <v>138</v>
      </c>
      <c r="C30" s="80">
        <f>108991.68*1.7*800/567</f>
        <v>261426.25185185182</v>
      </c>
      <c r="D30" s="81">
        <v>3</v>
      </c>
      <c r="E30" s="174">
        <f t="shared" ca="1" si="0"/>
        <v>784278.75555555546</v>
      </c>
      <c r="G30" s="19"/>
    </row>
    <row r="31" spans="1:7" s="10" customFormat="1" ht="12.75">
      <c r="A31" s="82" t="s">
        <v>397</v>
      </c>
      <c r="B31" s="82" t="s">
        <v>138</v>
      </c>
      <c r="C31" s="76">
        <f>273389.73*800/567*2.1</f>
        <v>810043.64444444445</v>
      </c>
      <c r="D31" s="83">
        <v>4.16</v>
      </c>
      <c r="E31" s="78">
        <f t="shared" ca="1" si="0"/>
        <v>3369781.5608888892</v>
      </c>
      <c r="G31" s="19"/>
    </row>
    <row r="32" spans="1:7" s="10" customFormat="1" ht="12.75">
      <c r="A32" s="79" t="s">
        <v>399</v>
      </c>
      <c r="B32" s="79" t="s">
        <v>138</v>
      </c>
      <c r="C32" s="80">
        <f>73936.476*800/567*3.2</f>
        <v>333822.53714285715</v>
      </c>
      <c r="D32" s="81">
        <v>3</v>
      </c>
      <c r="E32" s="174">
        <f t="shared" ca="1" si="0"/>
        <v>1001467.6114285714</v>
      </c>
      <c r="G32" s="19"/>
    </row>
    <row r="33" spans="1:7" s="10" customFormat="1" ht="12.75">
      <c r="A33" s="82" t="s">
        <v>383</v>
      </c>
      <c r="B33" s="82" t="s">
        <v>61</v>
      </c>
      <c r="C33" s="76">
        <f>8685.62*800/567</f>
        <v>12254.843033509702</v>
      </c>
      <c r="D33" s="83">
        <v>3.3</v>
      </c>
      <c r="E33" s="78">
        <f t="shared" ca="1" si="0"/>
        <v>40440.982010582011</v>
      </c>
      <c r="G33" s="19"/>
    </row>
    <row r="34" spans="1:7" s="10" customFormat="1" ht="12.75">
      <c r="A34" s="79" t="s">
        <v>384</v>
      </c>
      <c r="B34" s="79" t="s">
        <v>61</v>
      </c>
      <c r="C34" s="80">
        <f>8783.15*800/567</f>
        <v>12392.451499118166</v>
      </c>
      <c r="D34" s="81">
        <v>3.3</v>
      </c>
      <c r="E34" s="174">
        <f t="shared" ca="1" si="0"/>
        <v>40895.089947089946</v>
      </c>
      <c r="G34" s="19"/>
    </row>
    <row r="35" spans="1:7" s="10" customFormat="1" ht="12.75">
      <c r="A35" s="82" t="s">
        <v>385</v>
      </c>
      <c r="B35" s="82" t="s">
        <v>61</v>
      </c>
      <c r="C35" s="76">
        <f>9348.24*800/567</f>
        <v>13189.756613756614</v>
      </c>
      <c r="D35" s="83">
        <v>3.3</v>
      </c>
      <c r="E35" s="78">
        <f t="shared" ca="1" si="0"/>
        <v>43526.196825396823</v>
      </c>
      <c r="G35" s="19"/>
    </row>
    <row r="36" spans="1:7" s="10" customFormat="1" ht="12.75">
      <c r="A36" s="79" t="s">
        <v>386</v>
      </c>
      <c r="B36" s="79" t="s">
        <v>61</v>
      </c>
      <c r="C36" s="80">
        <f>8698.32*800/567</f>
        <v>12272.761904761905</v>
      </c>
      <c r="D36" s="81">
        <v>3.3</v>
      </c>
      <c r="E36" s="174">
        <f t="shared" ca="1" si="0"/>
        <v>40500.114285714284</v>
      </c>
      <c r="G36" s="19"/>
    </row>
    <row r="37" spans="1:7" s="10" customFormat="1" ht="12.75">
      <c r="A37" s="82" t="s">
        <v>402</v>
      </c>
      <c r="B37" s="82" t="s">
        <v>136</v>
      </c>
      <c r="C37" s="76">
        <v>27606</v>
      </c>
      <c r="D37" s="83">
        <v>3.17</v>
      </c>
      <c r="E37" s="78">
        <f t="shared" ca="1" si="0"/>
        <v>87511.02</v>
      </c>
      <c r="G37" s="19"/>
    </row>
    <row r="38" spans="1:7" s="10" customFormat="1" ht="12.75">
      <c r="A38" s="79" t="s">
        <v>368</v>
      </c>
      <c r="B38" s="79" t="s">
        <v>61</v>
      </c>
      <c r="C38" s="80">
        <v>165925.9259</v>
      </c>
      <c r="D38" s="81">
        <v>1.61</v>
      </c>
      <c r="E38" s="174">
        <f t="shared" ca="1" si="0"/>
        <v>267140.74069900002</v>
      </c>
      <c r="G38" s="19"/>
    </row>
    <row r="39" spans="1:7" s="10" customFormat="1" ht="12.75">
      <c r="A39" s="82" t="s">
        <v>369</v>
      </c>
      <c r="B39" s="82" t="s">
        <v>61</v>
      </c>
      <c r="C39" s="76">
        <v>10252.530000000001</v>
      </c>
      <c r="D39" s="83">
        <v>3.21</v>
      </c>
      <c r="E39" s="78">
        <f t="shared" ca="1" si="0"/>
        <v>32910.621299999999</v>
      </c>
      <c r="G39" s="19"/>
    </row>
    <row r="40" spans="1:7" s="10" customFormat="1" ht="12.75">
      <c r="A40" s="79" t="s">
        <v>387</v>
      </c>
      <c r="B40" s="79" t="s">
        <v>61</v>
      </c>
      <c r="C40" s="80">
        <v>15789.62491</v>
      </c>
      <c r="D40" s="81">
        <v>3.3</v>
      </c>
      <c r="E40" s="174">
        <f t="shared" ca="1" si="0"/>
        <v>52105.762202999998</v>
      </c>
      <c r="G40" s="19"/>
    </row>
    <row r="41" spans="1:7" s="10" customFormat="1" ht="12.75">
      <c r="A41" s="82" t="s">
        <v>400</v>
      </c>
      <c r="B41" s="82" t="s">
        <v>138</v>
      </c>
      <c r="C41" s="76">
        <f>314749/3</f>
        <v>104916.33333333333</v>
      </c>
      <c r="D41" s="83">
        <v>3</v>
      </c>
      <c r="E41" s="78">
        <f t="shared" ca="1" si="0"/>
        <v>314749</v>
      </c>
    </row>
    <row r="42" spans="1:7" s="10" customFormat="1" ht="12.75">
      <c r="A42" s="79" t="s">
        <v>403</v>
      </c>
      <c r="B42" s="79" t="s">
        <v>61</v>
      </c>
      <c r="C42" s="80">
        <v>12244.67</v>
      </c>
      <c r="D42" s="81">
        <v>3.3</v>
      </c>
      <c r="E42" s="174">
        <f ca="1">IF(D42="",3.21,D42)*C42*$H$11</f>
        <v>40407.411</v>
      </c>
    </row>
    <row r="43" spans="1:7" s="10" customFormat="1" ht="12.75">
      <c r="A43" s="82"/>
      <c r="B43" s="82"/>
      <c r="C43" s="76"/>
      <c r="D43" s="83"/>
      <c r="E43" s="78">
        <f t="shared" ca="1" si="0"/>
        <v>0</v>
      </c>
    </row>
    <row r="44" spans="1:7" s="10" customFormat="1" ht="12.75">
      <c r="A44" s="79"/>
      <c r="B44" s="79"/>
      <c r="C44" s="80"/>
      <c r="D44" s="81"/>
      <c r="E44" s="174">
        <f t="shared" ca="1" si="0"/>
        <v>0</v>
      </c>
    </row>
    <row r="45" spans="1:7" s="10" customFormat="1" ht="12.75">
      <c r="A45" s="19" t="str">
        <f ca="1">IF(SUM(E52:E89)&gt;0,"Additional Equipment","")</f>
        <v/>
      </c>
      <c r="C45" s="26"/>
      <c r="D45" s="26"/>
      <c r="E45" s="40" t="str">
        <f ca="1">IF(SUM(E52:E89)&gt;0,SUM(E52:E89),"")</f>
        <v/>
      </c>
    </row>
    <row r="46" spans="1:7" s="10" customFormat="1" ht="12.75">
      <c r="C46" s="26"/>
      <c r="D46" s="26"/>
      <c r="E46" s="28"/>
    </row>
    <row r="47" spans="1:7" s="10" customFormat="1" ht="12.75">
      <c r="A47" s="11" t="s">
        <v>1</v>
      </c>
      <c r="C47" s="26"/>
      <c r="D47" s="26"/>
      <c r="E47" s="29">
        <f ca="1">SUM(E7:E45)</f>
        <v>24309247.046990361</v>
      </c>
    </row>
    <row r="48" spans="1:7" s="30" customFormat="1" ht="12.75">
      <c r="A48" s="30" t="s">
        <v>243</v>
      </c>
      <c r="C48" s="31"/>
      <c r="D48" s="31"/>
      <c r="E48" s="31"/>
    </row>
    <row r="49" spans="1:7">
      <c r="A49" s="11" t="s">
        <v>142</v>
      </c>
    </row>
    <row r="50" spans="1:7" s="10" customFormat="1" ht="12.75">
      <c r="A50" s="11" t="s">
        <v>42</v>
      </c>
      <c r="B50" s="11"/>
      <c r="C50" s="27" t="s">
        <v>132</v>
      </c>
      <c r="D50" s="27" t="s">
        <v>133</v>
      </c>
      <c r="E50" s="27" t="s">
        <v>21</v>
      </c>
      <c r="G50" s="11"/>
    </row>
    <row r="51" spans="1:7" s="10" customFormat="1" ht="12.75">
      <c r="A51" s="18" t="s">
        <v>67</v>
      </c>
      <c r="B51" s="18" t="s">
        <v>135</v>
      </c>
      <c r="C51" s="26"/>
      <c r="D51" s="26" t="s">
        <v>134</v>
      </c>
      <c r="E51" s="26"/>
    </row>
    <row r="52" spans="1:7" s="10" customFormat="1" ht="12.75">
      <c r="A52" s="82"/>
      <c r="B52" s="82"/>
      <c r="C52" s="76"/>
      <c r="D52" s="83"/>
      <c r="E52" s="78">
        <f ca="1">IF(D52="",3.21,D52)*C52*$H$11</f>
        <v>0</v>
      </c>
      <c r="G52" s="19"/>
    </row>
    <row r="53" spans="1:7" s="10" customFormat="1" ht="12.75">
      <c r="A53" s="79"/>
      <c r="B53" s="79"/>
      <c r="C53" s="80"/>
      <c r="D53" s="81"/>
      <c r="E53" s="174">
        <f ca="1">IF(D53="",3.21,D53)*C53*$H$11</f>
        <v>0</v>
      </c>
      <c r="G53" s="19"/>
    </row>
    <row r="54" spans="1:7" s="10" customFormat="1" ht="12.75">
      <c r="A54" s="82"/>
      <c r="B54" s="82"/>
      <c r="C54" s="76"/>
      <c r="D54" s="83"/>
      <c r="E54" s="78">
        <f t="shared" ref="E54:E89" ca="1" si="2">IF(D54="",3.21,D54)*C54*$H$11</f>
        <v>0</v>
      </c>
      <c r="G54" s="19"/>
    </row>
    <row r="55" spans="1:7" s="10" customFormat="1" ht="12.75">
      <c r="A55" s="79"/>
      <c r="B55" s="79"/>
      <c r="C55" s="80"/>
      <c r="D55" s="81"/>
      <c r="E55" s="174">
        <f t="shared" ca="1" si="2"/>
        <v>0</v>
      </c>
      <c r="G55" s="19"/>
    </row>
    <row r="56" spans="1:7" s="10" customFormat="1" ht="12.75">
      <c r="A56" s="82"/>
      <c r="B56" s="82"/>
      <c r="C56" s="76"/>
      <c r="D56" s="83"/>
      <c r="E56" s="78">
        <f t="shared" ca="1" si="2"/>
        <v>0</v>
      </c>
      <c r="G56" s="19"/>
    </row>
    <row r="57" spans="1:7" s="10" customFormat="1" ht="12.75">
      <c r="A57" s="79"/>
      <c r="B57" s="79"/>
      <c r="C57" s="80"/>
      <c r="D57" s="81"/>
      <c r="E57" s="174">
        <f t="shared" ca="1" si="2"/>
        <v>0</v>
      </c>
      <c r="G57" s="19"/>
    </row>
    <row r="58" spans="1:7" s="10" customFormat="1" ht="12.75">
      <c r="A58" s="82"/>
      <c r="B58" s="82"/>
      <c r="C58" s="76"/>
      <c r="D58" s="83"/>
      <c r="E58" s="78">
        <f t="shared" ca="1" si="2"/>
        <v>0</v>
      </c>
      <c r="G58" s="19"/>
    </row>
    <row r="59" spans="1:7" s="10" customFormat="1" ht="12.75">
      <c r="A59" s="79"/>
      <c r="B59" s="79"/>
      <c r="C59" s="80"/>
      <c r="D59" s="81"/>
      <c r="E59" s="174">
        <f t="shared" ca="1" si="2"/>
        <v>0</v>
      </c>
      <c r="G59" s="19"/>
    </row>
    <row r="60" spans="1:7" s="10" customFormat="1" ht="12.75">
      <c r="A60" s="82"/>
      <c r="B60" s="82"/>
      <c r="C60" s="76"/>
      <c r="D60" s="83"/>
      <c r="E60" s="78">
        <f t="shared" ca="1" si="2"/>
        <v>0</v>
      </c>
      <c r="G60" s="19"/>
    </row>
    <row r="61" spans="1:7" s="10" customFormat="1" ht="12.75">
      <c r="A61" s="79"/>
      <c r="B61" s="79"/>
      <c r="C61" s="80"/>
      <c r="D61" s="81"/>
      <c r="E61" s="174">
        <f t="shared" ca="1" si="2"/>
        <v>0</v>
      </c>
      <c r="G61" s="19"/>
    </row>
    <row r="62" spans="1:7" s="10" customFormat="1" ht="12.75">
      <c r="A62" s="82"/>
      <c r="B62" s="82"/>
      <c r="C62" s="76"/>
      <c r="D62" s="83"/>
      <c r="E62" s="78">
        <f t="shared" ca="1" si="2"/>
        <v>0</v>
      </c>
      <c r="G62" s="19"/>
    </row>
    <row r="63" spans="1:7" s="10" customFormat="1" ht="12.75">
      <c r="A63" s="79"/>
      <c r="B63" s="79"/>
      <c r="C63" s="80"/>
      <c r="D63" s="81"/>
      <c r="E63" s="174">
        <f t="shared" ca="1" si="2"/>
        <v>0</v>
      </c>
      <c r="G63" s="19"/>
    </row>
    <row r="64" spans="1:7" s="10" customFormat="1" ht="12.75">
      <c r="A64" s="82"/>
      <c r="B64" s="82"/>
      <c r="C64" s="76"/>
      <c r="D64" s="83"/>
      <c r="E64" s="78">
        <f t="shared" ca="1" si="2"/>
        <v>0</v>
      </c>
      <c r="G64" s="19"/>
    </row>
    <row r="65" spans="1:7" s="10" customFormat="1" ht="12.75">
      <c r="A65" s="79"/>
      <c r="B65" s="79"/>
      <c r="C65" s="80"/>
      <c r="D65" s="81"/>
      <c r="E65" s="174">
        <f t="shared" ca="1" si="2"/>
        <v>0</v>
      </c>
      <c r="G65" s="19"/>
    </row>
    <row r="66" spans="1:7" s="10" customFormat="1" ht="12.75">
      <c r="A66" s="82"/>
      <c r="B66" s="82"/>
      <c r="C66" s="76"/>
      <c r="D66" s="83"/>
      <c r="E66" s="78">
        <f t="shared" ca="1" si="2"/>
        <v>0</v>
      </c>
      <c r="G66" s="19"/>
    </row>
    <row r="67" spans="1:7" s="10" customFormat="1" ht="12.75">
      <c r="A67" s="79"/>
      <c r="B67" s="79"/>
      <c r="C67" s="80"/>
      <c r="D67" s="81"/>
      <c r="E67" s="174">
        <f t="shared" ca="1" si="2"/>
        <v>0</v>
      </c>
      <c r="G67" s="19"/>
    </row>
    <row r="68" spans="1:7" s="10" customFormat="1" ht="12.75">
      <c r="A68" s="82"/>
      <c r="B68" s="82"/>
      <c r="C68" s="76"/>
      <c r="D68" s="83"/>
      <c r="E68" s="78">
        <f t="shared" ca="1" si="2"/>
        <v>0</v>
      </c>
      <c r="G68" s="19"/>
    </row>
    <row r="69" spans="1:7" s="10" customFormat="1" ht="12.75">
      <c r="A69" s="79"/>
      <c r="B69" s="79"/>
      <c r="C69" s="80"/>
      <c r="D69" s="81"/>
      <c r="E69" s="174">
        <f t="shared" ca="1" si="2"/>
        <v>0</v>
      </c>
      <c r="G69" s="19"/>
    </row>
    <row r="70" spans="1:7" s="10" customFormat="1" ht="12.75">
      <c r="A70" s="82"/>
      <c r="B70" s="82"/>
      <c r="C70" s="76"/>
      <c r="D70" s="83"/>
      <c r="E70" s="78">
        <f t="shared" ca="1" si="2"/>
        <v>0</v>
      </c>
      <c r="G70" s="19"/>
    </row>
    <row r="71" spans="1:7" s="10" customFormat="1" ht="12.75">
      <c r="A71" s="79"/>
      <c r="B71" s="79"/>
      <c r="C71" s="80"/>
      <c r="D71" s="81"/>
      <c r="E71" s="174">
        <f t="shared" ca="1" si="2"/>
        <v>0</v>
      </c>
      <c r="G71" s="19"/>
    </row>
    <row r="72" spans="1:7" s="10" customFormat="1" ht="12.75">
      <c r="A72" s="82"/>
      <c r="B72" s="82"/>
      <c r="C72" s="76"/>
      <c r="D72" s="83"/>
      <c r="E72" s="78">
        <f t="shared" ca="1" si="2"/>
        <v>0</v>
      </c>
      <c r="G72" s="19"/>
    </row>
    <row r="73" spans="1:7" s="10" customFormat="1" ht="12.75">
      <c r="A73" s="79"/>
      <c r="B73" s="79"/>
      <c r="C73" s="80"/>
      <c r="D73" s="81"/>
      <c r="E73" s="174">
        <f t="shared" ca="1" si="2"/>
        <v>0</v>
      </c>
      <c r="G73" s="19"/>
    </row>
    <row r="74" spans="1:7" s="10" customFormat="1" ht="12.75">
      <c r="A74" s="82"/>
      <c r="B74" s="82"/>
      <c r="C74" s="76"/>
      <c r="D74" s="83"/>
      <c r="E74" s="78">
        <f t="shared" ca="1" si="2"/>
        <v>0</v>
      </c>
      <c r="G74" s="19"/>
    </row>
    <row r="75" spans="1:7" s="10" customFormat="1" ht="12.75">
      <c r="A75" s="79"/>
      <c r="B75" s="79"/>
      <c r="C75" s="80"/>
      <c r="D75" s="81"/>
      <c r="E75" s="174">
        <f t="shared" ca="1" si="2"/>
        <v>0</v>
      </c>
      <c r="G75" s="19"/>
    </row>
    <row r="76" spans="1:7" s="10" customFormat="1" ht="12.75">
      <c r="A76" s="82"/>
      <c r="B76" s="82"/>
      <c r="C76" s="76"/>
      <c r="D76" s="83"/>
      <c r="E76" s="78">
        <f t="shared" ca="1" si="2"/>
        <v>0</v>
      </c>
      <c r="G76" s="19"/>
    </row>
    <row r="77" spans="1:7" s="10" customFormat="1" ht="12.75">
      <c r="A77" s="79"/>
      <c r="B77" s="79"/>
      <c r="C77" s="80"/>
      <c r="D77" s="81"/>
      <c r="E77" s="174">
        <f t="shared" ca="1" si="2"/>
        <v>0</v>
      </c>
      <c r="G77" s="19"/>
    </row>
    <row r="78" spans="1:7" s="10" customFormat="1" ht="12.75">
      <c r="A78" s="82"/>
      <c r="B78" s="82"/>
      <c r="C78" s="76"/>
      <c r="D78" s="83"/>
      <c r="E78" s="78">
        <f t="shared" ca="1" si="2"/>
        <v>0</v>
      </c>
      <c r="G78" s="19"/>
    </row>
    <row r="79" spans="1:7" s="10" customFormat="1" ht="12.75">
      <c r="A79" s="79"/>
      <c r="B79" s="79"/>
      <c r="C79" s="80"/>
      <c r="D79" s="81"/>
      <c r="E79" s="174">
        <f t="shared" ca="1" si="2"/>
        <v>0</v>
      </c>
      <c r="G79" s="19"/>
    </row>
    <row r="80" spans="1:7" s="10" customFormat="1" ht="12.75">
      <c r="A80" s="82"/>
      <c r="B80" s="82"/>
      <c r="C80" s="76"/>
      <c r="D80" s="83"/>
      <c r="E80" s="78">
        <f t="shared" ca="1" si="2"/>
        <v>0</v>
      </c>
      <c r="G80" s="19"/>
    </row>
    <row r="81" spans="1:7" s="10" customFormat="1" ht="12.75">
      <c r="A81" s="79"/>
      <c r="B81" s="79"/>
      <c r="C81" s="80"/>
      <c r="D81" s="81"/>
      <c r="E81" s="174">
        <f t="shared" ca="1" si="2"/>
        <v>0</v>
      </c>
      <c r="G81" s="19"/>
    </row>
    <row r="82" spans="1:7" s="10" customFormat="1" ht="12.75">
      <c r="A82" s="82"/>
      <c r="B82" s="82"/>
      <c r="C82" s="76"/>
      <c r="D82" s="83"/>
      <c r="E82" s="78">
        <f t="shared" ca="1" si="2"/>
        <v>0</v>
      </c>
      <c r="G82" s="19"/>
    </row>
    <row r="83" spans="1:7" s="10" customFormat="1" ht="12.75">
      <c r="A83" s="79"/>
      <c r="B83" s="79"/>
      <c r="C83" s="80"/>
      <c r="D83" s="81"/>
      <c r="E83" s="174">
        <f t="shared" ca="1" si="2"/>
        <v>0</v>
      </c>
      <c r="G83" s="19"/>
    </row>
    <row r="84" spans="1:7" s="10" customFormat="1" ht="12.75">
      <c r="A84" s="82"/>
      <c r="B84" s="82"/>
      <c r="C84" s="76"/>
      <c r="D84" s="83"/>
      <c r="E84" s="78">
        <f t="shared" ca="1" si="2"/>
        <v>0</v>
      </c>
      <c r="G84" s="19"/>
    </row>
    <row r="85" spans="1:7" s="10" customFormat="1" ht="12.75">
      <c r="A85" s="79"/>
      <c r="B85" s="79"/>
      <c r="C85" s="80"/>
      <c r="D85" s="81"/>
      <c r="E85" s="174">
        <f t="shared" ca="1" si="2"/>
        <v>0</v>
      </c>
      <c r="G85" s="19"/>
    </row>
    <row r="86" spans="1:7" s="10" customFormat="1" ht="12.75">
      <c r="A86" s="82"/>
      <c r="B86" s="82"/>
      <c r="C86" s="76"/>
      <c r="D86" s="83"/>
      <c r="E86" s="78">
        <f t="shared" ca="1" si="2"/>
        <v>0</v>
      </c>
    </row>
    <row r="87" spans="1:7" s="10" customFormat="1" ht="12.75">
      <c r="A87" s="79"/>
      <c r="B87" s="79"/>
      <c r="C87" s="80"/>
      <c r="D87" s="81"/>
      <c r="E87" s="174">
        <f t="shared" ca="1" si="2"/>
        <v>0</v>
      </c>
    </row>
    <row r="88" spans="1:7" s="10" customFormat="1" ht="12.75">
      <c r="A88" s="82"/>
      <c r="B88" s="82"/>
      <c r="C88" s="76"/>
      <c r="D88" s="83"/>
      <c r="E88" s="78">
        <f t="shared" ca="1" si="2"/>
        <v>0</v>
      </c>
    </row>
    <row r="89" spans="1:7" s="10" customFormat="1" ht="12.75">
      <c r="A89" s="79"/>
      <c r="B89" s="79"/>
      <c r="C89" s="80"/>
      <c r="D89" s="81"/>
      <c r="E89" s="174">
        <f t="shared" ca="1" si="2"/>
        <v>0</v>
      </c>
    </row>
    <row r="92" spans="1:7" s="10" customFormat="1" ht="15.75">
      <c r="A92" s="37" t="s">
        <v>253</v>
      </c>
      <c r="B92" s="9"/>
      <c r="C92" s="25"/>
      <c r="D92" s="25"/>
      <c r="E92" s="25"/>
      <c r="F92" s="9"/>
      <c r="G92" s="9"/>
    </row>
    <row r="93" spans="1:7">
      <c r="A93" s="30" t="s">
        <v>254</v>
      </c>
    </row>
    <row r="94" spans="1:7">
      <c r="A94" s="142"/>
    </row>
    <row r="95" spans="1:7">
      <c r="B95" s="10" t="s">
        <v>229</v>
      </c>
      <c r="C95" s="26"/>
      <c r="D95" s="26"/>
      <c r="E95" s="76">
        <v>0</v>
      </c>
    </row>
    <row r="96" spans="1:7">
      <c r="B96" s="10" t="s">
        <v>230</v>
      </c>
      <c r="C96" s="26"/>
      <c r="D96" s="26"/>
      <c r="E96" s="76">
        <v>0</v>
      </c>
    </row>
    <row r="97" spans="2:5">
      <c r="B97" s="10" t="s">
        <v>231</v>
      </c>
      <c r="C97" s="26"/>
      <c r="D97" s="26"/>
      <c r="E97" s="76">
        <v>0</v>
      </c>
    </row>
    <row r="98" spans="2:5">
      <c r="B98" s="10" t="s">
        <v>232</v>
      </c>
      <c r="C98" s="26"/>
      <c r="D98" s="26"/>
      <c r="E98" s="76">
        <v>0</v>
      </c>
    </row>
    <row r="99" spans="2:5">
      <c r="B99" s="10" t="s">
        <v>233</v>
      </c>
      <c r="C99" s="26"/>
      <c r="D99" s="26"/>
      <c r="E99" s="76">
        <v>0</v>
      </c>
    </row>
    <row r="100" spans="2:5">
      <c r="B100" s="10"/>
      <c r="C100" s="26"/>
      <c r="D100" s="26"/>
      <c r="E100" s="76"/>
    </row>
    <row r="101" spans="2:5">
      <c r="B101" s="10" t="s">
        <v>1</v>
      </c>
      <c r="C101" s="26"/>
      <c r="D101" s="26"/>
      <c r="E101" s="78">
        <f ca="1">SUM(E95:E99)*$H$11</f>
        <v>0</v>
      </c>
    </row>
    <row r="102" spans="2:5">
      <c r="B102" s="10"/>
      <c r="C102" s="26"/>
      <c r="D102" s="26"/>
      <c r="E102" s="26"/>
    </row>
  </sheetData>
  <sheetProtection algorithmName="SHA-512" hashValue="a4LrZ1W0HzXPQ6EF1AL2xO2BdTq439mwtkRBcKIdpcOVLGKEUAexMlpoRqqx7+/z25bqNPjqpdGLMkFmNwSNeg==" saltValue="tw2eU+AI5FgpIkkYtRz2jQ==" spinCount="100000" sheet="1" objects="1" scenarios="1"/>
  <dataValidations count="1">
    <dataValidation type="list" allowBlank="1" showInputMessage="1" showErrorMessage="1" sqref="B52:B89 B7:B44" xr:uid="{00000000-0002-0000-0A00-000000000000}">
      <formula1>$H$2:$H$9</formula1>
    </dataValidation>
  </dataValidations>
  <pageMargins left="0.7" right="0.7" top="0.75" bottom="0.75" header="0.3" footer="0.3"/>
  <pageSetup scale="91" orientation="portrait" r:id="rId1"/>
  <headerFooter>
    <oddHeader>&amp;C&amp;"Calibri"&amp;10&amp;K000000 Public&amp;1#_x000D_</oddHeader>
    <oddFooter>&amp;C_x000D_&amp;1#&amp;"Calibri"&amp;10&amp;K000000 Public</oddFooter>
  </headerFooter>
  <rowBreaks count="1" manualBreakCount="1">
    <brk id="47" max="16383" man="1"/>
  </rowBreaks>
  <colBreaks count="1" manualBreakCount="1">
    <brk id="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I45"/>
  <sheetViews>
    <sheetView workbookViewId="0">
      <selection activeCell="E47" sqref="E47"/>
    </sheetView>
  </sheetViews>
  <sheetFormatPr defaultColWidth="9.140625" defaultRowHeight="12.75"/>
  <cols>
    <col min="1" max="1" width="23.28515625" style="10" customWidth="1"/>
    <col min="2" max="2" width="13.140625" style="10" customWidth="1"/>
    <col min="3" max="3" width="9.140625" style="10"/>
    <col min="4" max="4" width="5.42578125" style="10" customWidth="1"/>
    <col min="5" max="5" width="10.28515625" style="10" customWidth="1"/>
    <col min="6" max="6" width="9.140625" style="10"/>
    <col min="7" max="7" width="5.42578125" style="10" customWidth="1"/>
    <col min="8" max="8" width="23.85546875" style="10" customWidth="1"/>
    <col min="9" max="16384" width="9.140625" style="10"/>
  </cols>
  <sheetData>
    <row r="1" spans="1:9" ht="15.75">
      <c r="A1" s="37" t="s">
        <v>5</v>
      </c>
      <c r="B1" s="9"/>
      <c r="C1" s="9"/>
      <c r="D1" s="9"/>
      <c r="E1" s="9"/>
      <c r="F1" s="9"/>
      <c r="G1" s="9"/>
      <c r="H1" s="9"/>
      <c r="I1" s="9"/>
    </row>
    <row r="2" spans="1:9">
      <c r="B2" s="11" t="s">
        <v>26</v>
      </c>
      <c r="E2" s="49"/>
    </row>
    <row r="3" spans="1:9">
      <c r="D3" s="12" t="s">
        <v>27</v>
      </c>
      <c r="E3" s="49">
        <v>2</v>
      </c>
      <c r="F3" s="10" t="s">
        <v>105</v>
      </c>
      <c r="G3" s="10">
        <f>'General Input'!D31</f>
        <v>5</v>
      </c>
      <c r="H3" s="10" t="s">
        <v>90</v>
      </c>
    </row>
    <row r="4" spans="1:9">
      <c r="D4" s="12" t="s">
        <v>28</v>
      </c>
      <c r="E4" s="63">
        <v>40</v>
      </c>
      <c r="F4" s="13" t="s">
        <v>247</v>
      </c>
    </row>
    <row r="5" spans="1:9">
      <c r="D5" s="12" t="s">
        <v>29</v>
      </c>
      <c r="E5" s="58">
        <v>0.15</v>
      </c>
      <c r="F5" s="10" t="s">
        <v>45</v>
      </c>
    </row>
    <row r="6" spans="1:9">
      <c r="D6" s="12" t="s">
        <v>92</v>
      </c>
      <c r="E6" s="58">
        <v>0.06</v>
      </c>
      <c r="F6" s="10" t="s">
        <v>45</v>
      </c>
    </row>
    <row r="7" spans="1:9">
      <c r="D7" s="12" t="s">
        <v>93</v>
      </c>
      <c r="E7" s="185">
        <v>200000</v>
      </c>
      <c r="F7" s="10" t="s">
        <v>281</v>
      </c>
    </row>
    <row r="8" spans="1:9">
      <c r="D8" s="12" t="s">
        <v>282</v>
      </c>
      <c r="E8" s="175">
        <v>1</v>
      </c>
    </row>
    <row r="9" spans="1:9">
      <c r="D9" s="12" t="s">
        <v>94</v>
      </c>
      <c r="E9" s="185">
        <v>250000</v>
      </c>
      <c r="F9" s="10" t="s">
        <v>284</v>
      </c>
    </row>
    <row r="10" spans="1:9">
      <c r="D10" s="12" t="s">
        <v>283</v>
      </c>
      <c r="E10" s="175">
        <v>1</v>
      </c>
    </row>
    <row r="11" spans="1:9">
      <c r="E11" s="49"/>
    </row>
    <row r="12" spans="1:9">
      <c r="B12" s="11" t="s">
        <v>30</v>
      </c>
      <c r="E12" s="49"/>
    </row>
    <row r="13" spans="1:9">
      <c r="D13" s="12" t="s">
        <v>46</v>
      </c>
      <c r="E13" s="64">
        <v>1.4999999999999999E-2</v>
      </c>
      <c r="F13" s="10" t="s">
        <v>47</v>
      </c>
    </row>
    <row r="14" spans="1:9">
      <c r="D14" s="12" t="s">
        <v>31</v>
      </c>
      <c r="E14" s="64">
        <v>0.25</v>
      </c>
      <c r="F14" s="10" t="s">
        <v>48</v>
      </c>
    </row>
    <row r="15" spans="1:9">
      <c r="D15" s="12" t="s">
        <v>32</v>
      </c>
      <c r="E15" s="64">
        <v>1</v>
      </c>
      <c r="F15" s="10" t="s">
        <v>48</v>
      </c>
    </row>
    <row r="16" spans="1:9">
      <c r="D16" s="12" t="s">
        <v>33</v>
      </c>
      <c r="E16" s="64">
        <v>0.05</v>
      </c>
      <c r="F16" s="10" t="s">
        <v>48</v>
      </c>
    </row>
    <row r="17" spans="2:8">
      <c r="D17" s="12"/>
      <c r="E17" s="49"/>
    </row>
    <row r="18" spans="2:8">
      <c r="B18" s="11" t="s">
        <v>34</v>
      </c>
      <c r="D18" s="12"/>
      <c r="E18" s="49"/>
    </row>
    <row r="19" spans="2:8">
      <c r="D19" s="12"/>
      <c r="E19" s="49"/>
    </row>
    <row r="20" spans="2:8">
      <c r="D20" s="12" t="s">
        <v>35</v>
      </c>
      <c r="E20" s="64">
        <v>7.0999999999999994E-2</v>
      </c>
      <c r="F20" s="10" t="s">
        <v>224</v>
      </c>
    </row>
    <row r="21" spans="2:8">
      <c r="D21" s="12" t="s">
        <v>36</v>
      </c>
      <c r="E21" s="64">
        <v>2.4E-2</v>
      </c>
      <c r="F21" s="10" t="s">
        <v>224</v>
      </c>
    </row>
    <row r="22" spans="2:8">
      <c r="D22" s="12" t="s">
        <v>95</v>
      </c>
      <c r="E22" s="64">
        <v>5.8999999999999997E-2</v>
      </c>
      <c r="F22" s="10" t="s">
        <v>224</v>
      </c>
    </row>
    <row r="23" spans="2:8">
      <c r="D23" s="12" t="s">
        <v>96</v>
      </c>
      <c r="E23" s="64">
        <v>7.3999999999999996E-2</v>
      </c>
      <c r="F23" s="10" t="s">
        <v>224</v>
      </c>
    </row>
    <row r="24" spans="2:8">
      <c r="D24" s="12"/>
      <c r="E24" s="64"/>
    </row>
    <row r="25" spans="2:8">
      <c r="E25" s="49"/>
    </row>
    <row r="26" spans="2:8">
      <c r="B26" s="11" t="s">
        <v>97</v>
      </c>
      <c r="E26" s="49"/>
    </row>
    <row r="27" spans="2:8">
      <c r="D27" s="12" t="s">
        <v>98</v>
      </c>
      <c r="E27" s="64">
        <v>0.02</v>
      </c>
      <c r="F27" s="10" t="s">
        <v>47</v>
      </c>
    </row>
    <row r="28" spans="2:8">
      <c r="D28" s="12"/>
      <c r="E28" s="58"/>
    </row>
    <row r="29" spans="2:8">
      <c r="B29" s="11" t="s">
        <v>99</v>
      </c>
      <c r="D29" s="12"/>
      <c r="E29" s="14"/>
    </row>
    <row r="30" spans="2:8">
      <c r="B30" s="10" t="s">
        <v>100</v>
      </c>
      <c r="C30" s="64">
        <v>0.08</v>
      </c>
      <c r="D30" s="16" t="s">
        <v>102</v>
      </c>
      <c r="E30" s="14"/>
      <c r="G30" s="197">
        <f>1+'Total Permanent Investment'!$G$12</f>
        <v>1.2</v>
      </c>
      <c r="H30" s="10" t="s">
        <v>113</v>
      </c>
    </row>
    <row r="31" spans="2:8">
      <c r="E31" s="14"/>
      <c r="H31" s="16" t="s">
        <v>104</v>
      </c>
    </row>
    <row r="32" spans="2:8">
      <c r="B32" s="10" t="s">
        <v>101</v>
      </c>
      <c r="C32" s="64">
        <v>0.06</v>
      </c>
      <c r="D32" s="16" t="s">
        <v>106</v>
      </c>
      <c r="E32" s="197">
        <f>1+'Total Permanent Investment'!$G$12</f>
        <v>1.2</v>
      </c>
      <c r="F32" s="10" t="s">
        <v>103</v>
      </c>
    </row>
    <row r="33" spans="1:9">
      <c r="C33" s="64"/>
      <c r="D33" s="16"/>
      <c r="E33" s="53"/>
    </row>
    <row r="34" spans="1:9">
      <c r="B34" s="11" t="s">
        <v>107</v>
      </c>
      <c r="C34" s="15"/>
      <c r="D34" s="16"/>
      <c r="E34" s="58"/>
    </row>
    <row r="35" spans="1:9">
      <c r="C35" s="15"/>
      <c r="D35" s="12" t="s">
        <v>112</v>
      </c>
      <c r="E35" s="65">
        <v>0</v>
      </c>
    </row>
    <row r="36" spans="1:9">
      <c r="C36" s="15"/>
      <c r="D36" s="12" t="s">
        <v>108</v>
      </c>
      <c r="E36" s="65">
        <v>0</v>
      </c>
    </row>
    <row r="37" spans="1:9">
      <c r="C37" s="15"/>
      <c r="D37" s="12" t="s">
        <v>109</v>
      </c>
      <c r="E37" s="65">
        <v>0</v>
      </c>
    </row>
    <row r="38" spans="1:9">
      <c r="C38" s="15"/>
      <c r="D38" s="12"/>
      <c r="E38" s="65"/>
    </row>
    <row r="39" spans="1:9">
      <c r="B39" s="11" t="s">
        <v>110</v>
      </c>
      <c r="C39" s="15"/>
      <c r="D39" s="12"/>
      <c r="E39" s="65"/>
    </row>
    <row r="40" spans="1:9">
      <c r="D40" s="12" t="s">
        <v>111</v>
      </c>
      <c r="E40" s="65">
        <v>0</v>
      </c>
    </row>
    <row r="41" spans="1:9">
      <c r="D41" s="12"/>
      <c r="E41" s="65"/>
    </row>
    <row r="42" spans="1:9">
      <c r="B42" s="11" t="s">
        <v>294</v>
      </c>
      <c r="D42" s="12"/>
      <c r="E42" s="65"/>
    </row>
    <row r="43" spans="1:9">
      <c r="B43" s="11"/>
      <c r="D43" s="12" t="s">
        <v>292</v>
      </c>
      <c r="E43" s="65">
        <v>0</v>
      </c>
    </row>
    <row r="44" spans="1:9">
      <c r="D44" s="12" t="s">
        <v>293</v>
      </c>
      <c r="E44" s="179"/>
    </row>
    <row r="45" spans="1:9">
      <c r="A45" s="17"/>
      <c r="B45" s="17"/>
      <c r="C45" s="17"/>
      <c r="D45" s="17"/>
      <c r="E45" s="17"/>
      <c r="F45" s="17"/>
      <c r="G45" s="17"/>
      <c r="H45" s="17"/>
      <c r="I45" s="17"/>
    </row>
  </sheetData>
  <sheetProtection algorithmName="SHA-512" hashValue="jpQebEnoBI7uyFyebmFiGp3SxH/qFZCHHdPxIIfh+PuXeKbZBDrLsSoaEjIzANwFRzarwuC0IJtWHtBWWbF3RA==" saltValue="PQ3DNq3685GbIHixP6Vrbg==" spinCount="100000" sheet="1" objects="1" scenarios="1"/>
  <pageMargins left="0.7" right="0.7" top="0.75" bottom="0.75" header="0.3" footer="0.3"/>
  <pageSetup orientation="portrait" r:id="rId1"/>
  <headerFooter>
    <oddHeader>&amp;C&amp;"Calibri"&amp;10&amp;K000000 Public&amp;1#_x000D_</oddHeader>
    <oddFooter>&amp;C_x000D_&amp;1#&amp;"Calibri"&amp;10&amp;K000000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73E61-61E4-45E1-8C17-A079A682E1E0}">
  <dimension ref="A1"/>
  <sheetViews>
    <sheetView workbookViewId="0"/>
  </sheetViews>
  <sheetFormatPr defaultRowHeight="15"/>
  <sheetData>
    <row r="1" spans="1:1">
      <c r="A1" t="s">
        <v>275</v>
      </c>
    </row>
  </sheetData>
  <pageMargins left="0.7" right="0.7" top="0.75" bottom="0.75" header="0.3" footer="0.3"/>
  <headerFooter>
    <oddHeader>&amp;C&amp;"Calibri"&amp;10&amp;K000000 Public&amp;1#_x000D_</oddHeader>
    <oddFooter>&amp;C_x000D_&amp;1#&amp;"Calibri"&amp;10&amp;K000000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76A24-3456-48AB-A37F-7242CB371685}">
  <dimension ref="A1:B38"/>
  <sheetViews>
    <sheetView workbookViewId="0">
      <selection activeCell="J4" sqref="J4"/>
    </sheetView>
  </sheetViews>
  <sheetFormatPr defaultRowHeight="15"/>
  <sheetData>
    <row r="1" spans="1:2">
      <c r="A1" t="s">
        <v>260</v>
      </c>
      <c r="B1" t="s">
        <v>261</v>
      </c>
    </row>
    <row r="2" spans="1:2">
      <c r="A2">
        <v>4</v>
      </c>
      <c r="B2" t="s">
        <v>262</v>
      </c>
    </row>
    <row r="4" spans="1:2">
      <c r="A4">
        <v>5</v>
      </c>
      <c r="B4" t="s">
        <v>263</v>
      </c>
    </row>
    <row r="5" spans="1:2">
      <c r="B5" t="s">
        <v>264</v>
      </c>
    </row>
    <row r="6" spans="1:2">
      <c r="B6" t="s">
        <v>265</v>
      </c>
    </row>
    <row r="7" spans="1:2">
      <c r="B7" t="s">
        <v>267</v>
      </c>
    </row>
    <row r="8" spans="1:2">
      <c r="B8" t="s">
        <v>268</v>
      </c>
    </row>
    <row r="9" spans="1:2">
      <c r="B9" t="s">
        <v>269</v>
      </c>
    </row>
    <row r="10" spans="1:2">
      <c r="B10" t="s">
        <v>270</v>
      </c>
    </row>
    <row r="11" spans="1:2">
      <c r="B11" t="s">
        <v>271</v>
      </c>
    </row>
    <row r="12" spans="1:2">
      <c r="B12" t="s">
        <v>273</v>
      </c>
    </row>
    <row r="13" spans="1:2">
      <c r="B13" t="s">
        <v>274</v>
      </c>
    </row>
    <row r="14" spans="1:2">
      <c r="B14" t="s">
        <v>276</v>
      </c>
    </row>
    <row r="16" spans="1:2">
      <c r="A16">
        <v>6</v>
      </c>
      <c r="B16" t="s">
        <v>277</v>
      </c>
    </row>
    <row r="17" spans="2:2">
      <c r="B17" t="s">
        <v>278</v>
      </c>
    </row>
    <row r="18" spans="2:2">
      <c r="B18" t="s">
        <v>279</v>
      </c>
    </row>
    <row r="19" spans="2:2">
      <c r="B19" t="s">
        <v>280</v>
      </c>
    </row>
    <row r="20" spans="2:2">
      <c r="B20" t="s">
        <v>291</v>
      </c>
    </row>
    <row r="21" spans="2:2">
      <c r="B21" t="s">
        <v>285</v>
      </c>
    </row>
    <row r="22" spans="2:2">
      <c r="B22" t="s">
        <v>286</v>
      </c>
    </row>
    <row r="23" spans="2:2">
      <c r="B23" t="s">
        <v>289</v>
      </c>
    </row>
    <row r="24" spans="2:2">
      <c r="B24" t="s">
        <v>288</v>
      </c>
    </row>
    <row r="25" spans="2:2">
      <c r="B25" t="s">
        <v>290</v>
      </c>
    </row>
    <row r="26" spans="2:2">
      <c r="B26" t="s">
        <v>296</v>
      </c>
    </row>
    <row r="27" spans="2:2">
      <c r="B27" t="s">
        <v>299</v>
      </c>
    </row>
    <row r="28" spans="2:2">
      <c r="B28" t="s">
        <v>303</v>
      </c>
    </row>
    <row r="29" spans="2:2">
      <c r="B29" t="s">
        <v>304</v>
      </c>
    </row>
    <row r="30" spans="2:2">
      <c r="B30" t="s">
        <v>310</v>
      </c>
    </row>
    <row r="31" spans="2:2">
      <c r="B31" t="s">
        <v>312</v>
      </c>
    </row>
    <row r="33" spans="1:2">
      <c r="A33">
        <v>7</v>
      </c>
      <c r="B33" t="s">
        <v>321</v>
      </c>
    </row>
    <row r="34" spans="1:2">
      <c r="B34" t="s">
        <v>347</v>
      </c>
    </row>
    <row r="35" spans="1:2">
      <c r="B35" t="s">
        <v>356</v>
      </c>
    </row>
    <row r="36" spans="1:2">
      <c r="B36" t="s">
        <v>322</v>
      </c>
    </row>
    <row r="37" spans="1:2">
      <c r="B37" t="s">
        <v>337</v>
      </c>
    </row>
    <row r="38" spans="1:2">
      <c r="B38" t="s">
        <v>355</v>
      </c>
    </row>
  </sheetData>
  <sheetProtection algorithmName="SHA-512" hashValue="Y52Ww6dKtsVDsABJhJ3CHRZq22xKTn+7mGCY23HePs5ci6E6QdU6tI+MtbAGRRAZS64ZyC1JBAP/ERsGNE531g==" saltValue="vEBYvM1w+ZSm4l14v1bRZQ==" spinCount="100000" sheet="1" objects="1" scenarios="1"/>
  <pageMargins left="0.7" right="0.7" top="0.75" bottom="0.75" header="0.3" footer="0.3"/>
  <headerFooter>
    <oddHeader>&amp;C&amp;"Calibri"&amp;10&amp;K000000 Public&amp;1#_x000D_</oddHeader>
    <oddFooter>&amp;C_x000D_&amp;1#&amp;"Calibri"&amp;10&amp;K000000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B050"/>
  </sheetPr>
  <dimension ref="A1:J219"/>
  <sheetViews>
    <sheetView showGridLines="0" topLeftCell="A91" zoomScaleNormal="100" zoomScaleSheetLayoutView="85" workbookViewId="0">
      <selection activeCell="E14" sqref="E14"/>
    </sheetView>
  </sheetViews>
  <sheetFormatPr defaultColWidth="9.140625" defaultRowHeight="12.75"/>
  <cols>
    <col min="1" max="1" width="9.42578125" style="87" customWidth="1"/>
    <col min="2" max="2" width="17.42578125" style="87" customWidth="1"/>
    <col min="3" max="3" width="11.140625" style="87" customWidth="1"/>
    <col min="4" max="4" width="8.42578125" style="87" customWidth="1"/>
    <col min="5" max="5" width="12.28515625" style="87" customWidth="1"/>
    <col min="6" max="6" width="9.85546875" style="87" bestFit="1" customWidth="1"/>
    <col min="7" max="7" width="10.85546875" style="87" customWidth="1"/>
    <col min="8" max="8" width="7.140625" style="87" customWidth="1"/>
    <col min="9" max="9" width="6.85546875" style="87" customWidth="1"/>
    <col min="10" max="10" width="9.140625" style="87" hidden="1" customWidth="1"/>
    <col min="11" max="16384" width="9.140625" style="87"/>
  </cols>
  <sheetData>
    <row r="1" spans="1:9">
      <c r="A1" s="86" t="s">
        <v>9</v>
      </c>
      <c r="B1" s="86"/>
      <c r="C1" s="86"/>
      <c r="D1" s="86"/>
      <c r="E1" s="86"/>
      <c r="F1" s="86"/>
      <c r="G1" s="86"/>
      <c r="H1" s="86"/>
      <c r="I1" s="86"/>
    </row>
    <row r="2" spans="1:9">
      <c r="B2" s="88" t="s">
        <v>10</v>
      </c>
      <c r="C2" s="89" t="str">
        <f>IF('General Input'!D2="Insert Title Here","MISSING",'General Input'!D2)</f>
        <v>Direct Lithium Extraction from Oilfield Brine</v>
      </c>
    </row>
    <row r="3" spans="1:9">
      <c r="B3" s="88" t="s">
        <v>12</v>
      </c>
      <c r="C3" s="89" t="str">
        <f>IF('General Input'!D3="Insert Product Here","MISSING",'General Input'!D3)</f>
        <v>Lithium</v>
      </c>
    </row>
    <row r="4" spans="1:9">
      <c r="B4" s="88" t="s">
        <v>11</v>
      </c>
      <c r="C4" s="89" t="str">
        <f>IF('General Input'!D4="Insert Location Here","MISSING",'General Input'!D4)</f>
        <v>Smackover Formation</v>
      </c>
    </row>
    <row r="5" spans="1:9">
      <c r="B5" s="88" t="s">
        <v>13</v>
      </c>
      <c r="C5" s="90">
        <f>'General Input'!D12</f>
        <v>1</v>
      </c>
    </row>
    <row r="6" spans="1:9">
      <c r="B6" s="88" t="s">
        <v>14</v>
      </c>
      <c r="C6" s="91">
        <f>C7*24</f>
        <v>7919.0400000000009</v>
      </c>
    </row>
    <row r="7" spans="1:9">
      <c r="B7" s="88" t="s">
        <v>15</v>
      </c>
      <c r="C7" s="91">
        <f>C8*365</f>
        <v>329.96000000000004</v>
      </c>
    </row>
    <row r="8" spans="1:9">
      <c r="B8" s="88" t="s">
        <v>16</v>
      </c>
      <c r="C8" s="92">
        <f>IF('General Input'!D25&gt;0,'General Input'!D25,IF('General Input'!D19&gt;0,'General Input'!D19,IF('General Input'!D17&gt;0,'General Input'!D17/(24*365),IF('General Input'!D15&gt;0,'General Input'!D15/365,"MISSING"))))</f>
        <v>0.90400000000000003</v>
      </c>
    </row>
    <row r="11" spans="1:9">
      <c r="A11" s="86" t="s">
        <v>17</v>
      </c>
      <c r="B11" s="86"/>
      <c r="C11" s="86"/>
      <c r="D11" s="86"/>
      <c r="E11" s="86"/>
      <c r="F11" s="86"/>
      <c r="G11" s="86"/>
      <c r="H11" s="86"/>
      <c r="I11" s="86"/>
    </row>
    <row r="12" spans="1:9">
      <c r="A12" s="87" t="s">
        <v>18</v>
      </c>
    </row>
    <row r="13" spans="1:9">
      <c r="C13" s="93">
        <f>C15/C6</f>
        <v>0.63138966339354263</v>
      </c>
      <c r="D13" s="87" t="str">
        <f>'General Input'!D46&amp;" of "&amp;'General Input'!D3&amp;" per hour"</f>
        <v>tonnes of Lithium per hour</v>
      </c>
    </row>
    <row r="14" spans="1:9">
      <c r="C14" s="93">
        <f>C15/C7</f>
        <v>15.153351921445022</v>
      </c>
      <c r="D14" s="87" t="str">
        <f>'General Input'!D46&amp;" of "&amp;'General Input'!D3&amp;" per day"</f>
        <v>tonnes of Lithium per day</v>
      </c>
    </row>
    <row r="15" spans="1:9">
      <c r="C15" s="93">
        <f>IF('General Input'!D51&gt;0,'General Input'!D51,IF('General Input'!D53&gt;0,'General Input'!D53*C7,'General Input'!D55*C6))</f>
        <v>5000</v>
      </c>
      <c r="D15" s="87" t="str">
        <f>'General Input'!D46&amp;" of "&amp;'General Input'!D3&amp;" per year"</f>
        <v>tonnes of Lithium per year</v>
      </c>
    </row>
    <row r="16" spans="1:9">
      <c r="C16" s="93"/>
    </row>
    <row r="17" spans="1:10">
      <c r="B17" s="87" t="s">
        <v>8</v>
      </c>
      <c r="C17" s="94">
        <f>'General Input'!D48</f>
        <v>56059.01</v>
      </c>
      <c r="D17" s="95" t="str">
        <f>'General Input'!E48</f>
        <v>/tonnes</v>
      </c>
      <c r="F17" s="96"/>
    </row>
    <row r="18" spans="1:10">
      <c r="C18" s="97"/>
    </row>
    <row r="19" spans="1:10">
      <c r="A19" s="86" t="s">
        <v>19</v>
      </c>
      <c r="B19" s="86"/>
      <c r="C19" s="86"/>
      <c r="D19" s="86"/>
      <c r="E19" s="86"/>
      <c r="F19" s="86"/>
      <c r="G19" s="86"/>
      <c r="H19" s="86"/>
      <c r="I19" s="86"/>
    </row>
    <row r="20" spans="1:10">
      <c r="A20" s="89"/>
      <c r="B20" s="89"/>
      <c r="C20" s="203" t="s">
        <v>38</v>
      </c>
      <c r="D20" s="203"/>
      <c r="E20" s="98" t="s">
        <v>40</v>
      </c>
      <c r="F20" s="99" t="s">
        <v>6</v>
      </c>
      <c r="G20" s="89"/>
      <c r="H20" s="99" t="s">
        <v>205</v>
      </c>
    </row>
    <row r="21" spans="1:10">
      <c r="A21" s="98" t="s">
        <v>2</v>
      </c>
      <c r="B21" s="98" t="s">
        <v>20</v>
      </c>
      <c r="C21" s="204" t="s">
        <v>37</v>
      </c>
      <c r="D21" s="204"/>
      <c r="E21" s="98" t="s">
        <v>39</v>
      </c>
      <c r="F21" s="87" t="str">
        <f>'General Input'!D33&amp;" MACRS"</f>
        <v>20 year MACRS</v>
      </c>
      <c r="G21" s="89"/>
    </row>
    <row r="22" spans="1:10">
      <c r="A22" s="87">
        <f>'General Input'!D11</f>
        <v>2024</v>
      </c>
      <c r="B22" s="87" t="str">
        <f>IF(A22="","",IF('General Input'!$D$7&gt;('Input Summary'!A22-'Input Summary'!$A$22),"Design",IF(SUM('General Input'!$D$7:$D$8)&gt;('Input Summary'!A22-'Input Summary'!$A$22),"Construction","Production")))</f>
        <v>Design</v>
      </c>
      <c r="C22" s="202" t="str">
        <f>IF(ISNA(VLOOKUP(A22,'Total Permanent Investment'!$D$4:$E$7,2,FALSE)),"",VLOOKUP(A22,'Total Permanent Investment'!$D$4:$E$7,2,FALSE))</f>
        <v/>
      </c>
      <c r="D22" s="202"/>
      <c r="E22" s="100">
        <f>IF(B22="Design",0,IF(B22="Construction",0,'General Input'!$D$28*'General Input'!$D$27))</f>
        <v>0</v>
      </c>
      <c r="F22" s="101" t="str">
        <f t="shared" ref="F22:F47" si="0">IF(J22&gt;0,J22,"")</f>
        <v/>
      </c>
      <c r="H22" s="102" t="str">
        <f>IF(A22="","",IF(A22&lt;(SUM('General Input'!$D$11,'General Input'!$D$8,'General Input'!$D$7)),"",VLOOKUP(A22,'Selling Price'!$A$8:$D$53,4,FALSE)))</f>
        <v/>
      </c>
      <c r="J22" s="87" t="str">
        <f>IF(A22="","",IF(A22&gt;(SUM('General Input'!$D$7:$D$8,'General Input'!$D$11)-1),VLOOKUP((A22-SUM('General Input'!$D$7:$D$8,'General Input'!$D$11)+1),'General Input'!$I$26:$N$46,HLOOKUP('General Input'!$D$33,'General Input'!$J$24:$N$25,2,FALSE),FALSE),""))</f>
        <v/>
      </c>
    </row>
    <row r="23" spans="1:10">
      <c r="A23" s="87">
        <f>A22+1</f>
        <v>2025</v>
      </c>
      <c r="B23" s="87" t="str">
        <f>IF(A23="","",IF('General Input'!$D$7&gt;('Input Summary'!A23-'Input Summary'!$A$22),"Design",IF(SUM('General Input'!$D$7:$D$8)&gt;('Input Summary'!A23-'Input Summary'!$A$22),"Construction","Production")))</f>
        <v>Construction</v>
      </c>
      <c r="C23" s="202">
        <f>IF(ISNA(VLOOKUP(A23,'Total Permanent Investment'!$D$4:$E$7,2,FALSE)),"",VLOOKUP(A23,'Total Permanent Investment'!$D$4:$E$7,2,FALSE))</f>
        <v>1</v>
      </c>
      <c r="D23" s="202"/>
      <c r="E23" s="100">
        <f>IF(B23="","",IF(B23="Design",0,IF(B23="Construction",0,IF(AND(B23="Production",E22=0)=TRUE,'General Input'!$D$28*'General Input'!$D$27,MIN(('General Input'!$D$27-'General Input'!$D$27*'General Input'!$D$28)/'General Input'!$D$29+'Input Summary'!E22,'General Input'!$D$27)))))</f>
        <v>0</v>
      </c>
      <c r="F23" s="101" t="str">
        <f t="shared" si="0"/>
        <v/>
      </c>
      <c r="H23" s="102" t="str">
        <f>IF(A23="","",IF(A23&lt;(SUM('General Input'!$D$11,'General Input'!$D$8,'General Input'!$D$7)),"",VLOOKUP(A23,'Selling Price'!$A$8:$D$53,4,FALSE)))</f>
        <v/>
      </c>
      <c r="J23" s="87" t="str">
        <f>IF(A23="","",IF(A23&gt;(SUM('General Input'!$D$7:$D$8,'General Input'!$D$11)-1),VLOOKUP((A23-SUM('General Input'!$D$7:$D$8,'General Input'!$D$11)+1),'General Input'!$I$26:$N$46,HLOOKUP('General Input'!$D$33,'General Input'!$J$24:$N$25,2,FALSE),FALSE),""))</f>
        <v/>
      </c>
    </row>
    <row r="24" spans="1:10">
      <c r="A24" s="87">
        <f>IF(A23="","",IF('General Input'!$D$10&gt;('Input Summary'!A23-'Input Summary'!$A$22+1),'Input Summary'!A23+1,""))</f>
        <v>2026</v>
      </c>
      <c r="B24" s="87" t="str">
        <f>IF(A24="","",IF('General Input'!$D$7&gt;('Input Summary'!A24-'Input Summary'!$A$22),"Design",IF(SUM('General Input'!$D$7:$D$8)&gt;('Input Summary'!A24-'Input Summary'!$A$22),"Construction","Production")))</f>
        <v>Production</v>
      </c>
      <c r="C24" s="202">
        <f>IF(ISNA(VLOOKUP(A24,'Total Permanent Investment'!$D$4:$E$7,2,FALSE)),"",VLOOKUP(A24,'Total Permanent Investment'!$D$4:$E$7,2,FALSE))</f>
        <v>0</v>
      </c>
      <c r="D24" s="202"/>
      <c r="E24" s="100">
        <f>IF(B24="","",IF(B24="Design",0,IF(B24="Construction",0,IF(AND(B24="Production",E23=0)=TRUE,'General Input'!$D$28*'General Input'!$D$27,MIN(('General Input'!$D$27-'General Input'!$D$27*'General Input'!$D$28)/'General Input'!$D$29+'Input Summary'!E23,'General Input'!$D$27)))))</f>
        <v>0.5</v>
      </c>
      <c r="F24" s="101">
        <f t="shared" si="0"/>
        <v>3.7499999999999999E-2</v>
      </c>
      <c r="H24" s="102">
        <f>IF(A24="","",IF(A24&lt;(SUM('General Input'!$D$11,'General Input'!$D$8,'General Input'!$D$7)),"",VLOOKUP(A24,'Selling Price'!$A$8:$D$53,4,FALSE)))</f>
        <v>48671</v>
      </c>
      <c r="J24" s="87">
        <f>IF(A24="","",IF(A24&gt;(SUM('General Input'!$D$7:$D$8,'General Input'!$D$11)-1),VLOOKUP((A24-SUM('General Input'!$D$7:$D$8,'General Input'!$D$11)+1),'General Input'!$I$26:$N$58,HLOOKUP('General Input'!$D$33,'General Input'!$J$24:$N$25,2,FALSE),FALSE),""))</f>
        <v>3.7499999999999999E-2</v>
      </c>
    </row>
    <row r="25" spans="1:10">
      <c r="A25" s="87">
        <f>IF(A24="","",IF('General Input'!$D$10&gt;('Input Summary'!A24-'Input Summary'!$A$22+1),'Input Summary'!A24+1,""))</f>
        <v>2027</v>
      </c>
      <c r="B25" s="87" t="str">
        <f>IF(A25="","",IF('General Input'!$D$7&gt;('Input Summary'!A25-'Input Summary'!$A$22),"Design",IF(SUM('General Input'!$D$7:$D$8)&gt;('Input Summary'!A25-'Input Summary'!$A$22),"Construction","Production")))</f>
        <v>Production</v>
      </c>
      <c r="C25" s="202">
        <f>IF(ISNA(VLOOKUP(A25,'Total Permanent Investment'!$D$4:$E$7,2,FALSE)),"",VLOOKUP(A25,'Total Permanent Investment'!$D$4:$E$7,2,FALSE))</f>
        <v>0</v>
      </c>
      <c r="D25" s="202"/>
      <c r="E25" s="100">
        <f>IF(B25="","",IF(B25="Design",0,IF(B25="Construction",0,IF(AND(B25="Production",E24=0)=TRUE,'General Input'!$D$28*'General Input'!$D$27,MIN(('General Input'!$D$27-'General Input'!$D$27*'General Input'!$D$28)/'General Input'!$D$29+'Input Summary'!E24,'General Input'!$D$27)))))</f>
        <v>0.75</v>
      </c>
      <c r="F25" s="101">
        <f t="shared" si="0"/>
        <v>7.2190000000000004E-2</v>
      </c>
      <c r="H25" s="102">
        <f>IF(A25="","",IF(A25&lt;(SUM('General Input'!$D$11,'General Input'!$D$8,'General Input'!$D$7)),"",VLOOKUP(A25,'Selling Price'!$A$8:$D$53,4,FALSE)))</f>
        <v>55551</v>
      </c>
      <c r="J25" s="87">
        <f>IF(A25="","",IF(A25&gt;(SUM('General Input'!$D$7:$D$8,'General Input'!$D$11)-1),VLOOKUP((A25-SUM('General Input'!$D$7:$D$8,'General Input'!$D$11)+1),'General Input'!$I$26:$N$58,HLOOKUP('General Input'!$D$33,'General Input'!$J$24:$N$25,2,FALSE),FALSE),""))</f>
        <v>7.2190000000000004E-2</v>
      </c>
    </row>
    <row r="26" spans="1:10">
      <c r="A26" s="87">
        <f>IF(A25="","",IF('General Input'!$D$10&gt;('Input Summary'!A25-'Input Summary'!$A$22+1),'Input Summary'!A25+1,""))</f>
        <v>2028</v>
      </c>
      <c r="B26" s="87" t="str">
        <f>IF(A26="","",IF('General Input'!$D$7&gt;('Input Summary'!A26-'Input Summary'!$A$22),"Design",IF(SUM('General Input'!$D$7:$D$8)&gt;('Input Summary'!A26-'Input Summary'!$A$22),"Construction","Production")))</f>
        <v>Production</v>
      </c>
      <c r="C26" s="202">
        <f>IF(ISNA(VLOOKUP(A26,'Total Permanent Investment'!$D$4:$E$7,2,FALSE)),"",VLOOKUP(A26,'Total Permanent Investment'!$D$4:$E$7,2,FALSE))</f>
        <v>0</v>
      </c>
      <c r="D26" s="202"/>
      <c r="E26" s="100">
        <f>IF(B26="","",IF(B26="Design",0,IF(B26="Construction",0,IF(AND(B26="Production",E25=0)=TRUE,'General Input'!$D$28*'General Input'!$D$27,MIN(('General Input'!$D$27-'General Input'!$D$27*'General Input'!$D$28)/'General Input'!$D$29+'Input Summary'!E25,'General Input'!$D$27)))))</f>
        <v>1</v>
      </c>
      <c r="F26" s="101">
        <f t="shared" si="0"/>
        <v>6.6769999999999996E-2</v>
      </c>
      <c r="H26" s="102">
        <f>IF(A26="","",IF(A26&lt;(SUM('General Input'!$D$11,'General Input'!$D$8,'General Input'!$D$7)),"",VLOOKUP(A26,'Selling Price'!$A$8:$D$53,4,FALSE)))</f>
        <v>55551</v>
      </c>
      <c r="J26" s="87">
        <f>IF(A26="","",IF(A26&gt;(SUM('General Input'!$D$7:$D$8,'General Input'!$D$11)-1),VLOOKUP((A26-SUM('General Input'!$D$7:$D$8,'General Input'!$D$11)+1),'General Input'!$I$26:$N$58,HLOOKUP('General Input'!$D$33,'General Input'!$J$24:$N$25,2,FALSE),FALSE),""))</f>
        <v>6.6769999999999996E-2</v>
      </c>
    </row>
    <row r="27" spans="1:10">
      <c r="A27" s="87">
        <f>IF(A26="","",IF('General Input'!$D$10&gt;('Input Summary'!A26-'Input Summary'!$A$22+1),'Input Summary'!A26+1,""))</f>
        <v>2029</v>
      </c>
      <c r="B27" s="87" t="str">
        <f>IF(A27="","",IF('General Input'!$D$7&gt;('Input Summary'!A27-'Input Summary'!$A$22),"Design",IF(SUM('General Input'!$D$7:$D$8)&gt;('Input Summary'!A27-'Input Summary'!$A$22),"Construction","Production")))</f>
        <v>Production</v>
      </c>
      <c r="C27" s="202" t="str">
        <f>IF(ISNA(VLOOKUP(A27,'Total Permanent Investment'!$D$4:$E$7,2,FALSE)),"",VLOOKUP(A27,'Total Permanent Investment'!$D$4:$E$7,2,FALSE))</f>
        <v/>
      </c>
      <c r="D27" s="202"/>
      <c r="E27" s="100">
        <f>IF(B27="","",IF(B27="Design",0,IF(B27="Construction",0,IF(AND(B27="Production",E26=0)=TRUE,'General Input'!$D$28*'General Input'!$D$27,MIN(('General Input'!$D$27-'General Input'!$D$27*'General Input'!$D$28)/'General Input'!$D$29+'Input Summary'!E26,'General Input'!$D$27)))))</f>
        <v>1</v>
      </c>
      <c r="F27" s="101">
        <f t="shared" si="0"/>
        <v>6.1769999999999999E-2</v>
      </c>
      <c r="H27" s="102">
        <f>IF(A27="","",IF(A27&lt;(SUM('General Input'!$D$11,'General Input'!$D$8,'General Input'!$D$7)),"",VLOOKUP(A27,'Selling Price'!$A$8:$D$53,4,FALSE)))</f>
        <v>55551</v>
      </c>
      <c r="J27" s="87">
        <f>IF(A27="","",IF(A27&gt;(SUM('General Input'!$D$7:$D$8,'General Input'!$D$11)-1),VLOOKUP((A27-SUM('General Input'!$D$7:$D$8,'General Input'!$D$11)+1),'General Input'!$I$26:$N$58,HLOOKUP('General Input'!$D$33,'General Input'!$J$24:$N$25,2,FALSE),FALSE),""))</f>
        <v>6.1769999999999999E-2</v>
      </c>
    </row>
    <row r="28" spans="1:10">
      <c r="A28" s="87">
        <f>IF(A27="","",IF('General Input'!$D$10&gt;('Input Summary'!A27-'Input Summary'!$A$22+1),'Input Summary'!A27+1,""))</f>
        <v>2030</v>
      </c>
      <c r="B28" s="87" t="str">
        <f>IF(A28="","",IF('General Input'!$D$7&gt;('Input Summary'!A28-'Input Summary'!$A$22),"Design",IF(SUM('General Input'!$D$7:$D$8)&gt;('Input Summary'!A28-'Input Summary'!$A$22),"Construction","Production")))</f>
        <v>Production</v>
      </c>
      <c r="C28" s="202" t="str">
        <f>IF(ISNA(VLOOKUP(A28,'Total Permanent Investment'!$D$4:$E$7,2,FALSE)),"",VLOOKUP(A28,'Total Permanent Investment'!$D$4:$E$7,2,FALSE))</f>
        <v/>
      </c>
      <c r="D28" s="202"/>
      <c r="E28" s="100">
        <f>IF(B28="","",IF(B28="Design",0,IF(B28="Construction",0,IF(AND(B28="Production",E27=0)=TRUE,'General Input'!$D$28*'General Input'!$D$27,MIN(('General Input'!$D$27-'General Input'!$D$27*'General Input'!$D$28)/'General Input'!$D$29+'Input Summary'!E27,'General Input'!$D$27)))))</f>
        <v>1</v>
      </c>
      <c r="F28" s="101">
        <f t="shared" si="0"/>
        <v>5.713E-2</v>
      </c>
      <c r="H28" s="102">
        <f>IF(A28="","",IF(A28&lt;(SUM('General Input'!$D$11,'General Input'!$D$8,'General Input'!$D$7)),"",VLOOKUP(A28,'Selling Price'!$A$8:$D$53,4,FALSE)))</f>
        <v>55551</v>
      </c>
      <c r="J28" s="87">
        <f>IF(A28="","",IF(A28&gt;(SUM('General Input'!$D$7:$D$8,'General Input'!$D$11)-1),VLOOKUP((A28-SUM('General Input'!$D$7:$D$8,'General Input'!$D$11)+1),'General Input'!$I$26:$N$58,HLOOKUP('General Input'!$D$33,'General Input'!$J$24:$N$25,2,FALSE),FALSE),""))</f>
        <v>5.713E-2</v>
      </c>
    </row>
    <row r="29" spans="1:10">
      <c r="A29" s="87">
        <f>IF(A28="","",IF('General Input'!$D$10&gt;('Input Summary'!A28-'Input Summary'!$A$22+1),'Input Summary'!A28+1,""))</f>
        <v>2031</v>
      </c>
      <c r="B29" s="87" t="str">
        <f>IF(A29="","",IF('General Input'!$D$7&gt;('Input Summary'!A29-'Input Summary'!$A$22),"Design",IF(SUM('General Input'!$D$7:$D$8)&gt;('Input Summary'!A29-'Input Summary'!$A$22),"Construction","Production")))</f>
        <v>Production</v>
      </c>
      <c r="C29" s="202" t="str">
        <f>IF(ISNA(VLOOKUP(A29,'Total Permanent Investment'!$D$4:$E$7,2,FALSE)),"",VLOOKUP(A29,'Total Permanent Investment'!$D$4:$E$7,2,FALSE))</f>
        <v/>
      </c>
      <c r="D29" s="202"/>
      <c r="E29" s="100">
        <f>IF(B29="","",IF(B29="Design",0,IF(B29="Construction",0,IF(AND(B29="Production",E28=0)=TRUE,'General Input'!$D$28*'General Input'!$D$27,MIN(('General Input'!$D$27-'General Input'!$D$27*'General Input'!$D$28)/'General Input'!$D$29+'Input Summary'!E28,'General Input'!$D$27)))))</f>
        <v>1</v>
      </c>
      <c r="F29" s="101">
        <f t="shared" si="0"/>
        <v>5.2850000000000001E-2</v>
      </c>
      <c r="H29" s="102">
        <f>IF(A29="","",IF(A29&lt;(SUM('General Input'!$D$11,'General Input'!$D$8,'General Input'!$D$7)),"",VLOOKUP(A29,'Selling Price'!$A$8:$D$53,4,FALSE)))</f>
        <v>55551</v>
      </c>
      <c r="J29" s="87">
        <f>IF(A29="","",IF(A29&gt;(SUM('General Input'!$D$7:$D$8,'General Input'!$D$11)-1),VLOOKUP((A29-SUM('General Input'!$D$7:$D$8,'General Input'!$D$11)+1),'General Input'!$I$26:$N$58,HLOOKUP('General Input'!$D$33,'General Input'!$J$24:$N$25,2,FALSE),FALSE),""))</f>
        <v>5.2850000000000001E-2</v>
      </c>
    </row>
    <row r="30" spans="1:10">
      <c r="A30" s="87">
        <f>IF(A29="","",IF('General Input'!$D$10&gt;('Input Summary'!A29-'Input Summary'!$A$22+1),'Input Summary'!A29+1,""))</f>
        <v>2032</v>
      </c>
      <c r="B30" s="87" t="str">
        <f>IF(A30="","",IF('General Input'!$D$7&gt;('Input Summary'!A30-'Input Summary'!$A$22),"Design",IF(SUM('General Input'!$D$7:$D$8)&gt;('Input Summary'!A30-'Input Summary'!$A$22),"Construction","Production")))</f>
        <v>Production</v>
      </c>
      <c r="C30" s="202" t="str">
        <f>IF(ISNA(VLOOKUP(A30,'Total Permanent Investment'!$D$4:$E$7,2,FALSE)),"",VLOOKUP(A30,'Total Permanent Investment'!$D$4:$E$7,2,FALSE))</f>
        <v/>
      </c>
      <c r="D30" s="202"/>
      <c r="E30" s="100">
        <f>IF(B30="","",IF(B30="Design",0,IF(B30="Construction",0,IF(AND(B30="Production",E29=0)=TRUE,'General Input'!$D$28*'General Input'!$D$27,MIN(('General Input'!$D$27-'General Input'!$D$27*'General Input'!$D$28)/'General Input'!$D$29+'Input Summary'!E29,'General Input'!$D$27)))))</f>
        <v>1</v>
      </c>
      <c r="F30" s="101">
        <f t="shared" si="0"/>
        <v>4.888E-2</v>
      </c>
      <c r="H30" s="102">
        <f>IF(A30="","",IF(A30&lt;(SUM('General Input'!$D$11,'General Input'!$D$8,'General Input'!$D$7)),"",VLOOKUP(A30,'Selling Price'!$A$8:$D$53,4,FALSE)))</f>
        <v>55551</v>
      </c>
      <c r="J30" s="87">
        <f>IF(A30="","",IF(A30&gt;(SUM('General Input'!$D$7:$D$8,'General Input'!$D$11)-1),VLOOKUP((A30-SUM('General Input'!$D$7:$D$8,'General Input'!$D$11)+1),'General Input'!$I$26:$N$58,HLOOKUP('General Input'!$D$33,'General Input'!$J$24:$N$25,2,FALSE),FALSE),""))</f>
        <v>4.888E-2</v>
      </c>
    </row>
    <row r="31" spans="1:10">
      <c r="A31" s="87">
        <f>IF(A30="","",IF('General Input'!$D$10&gt;('Input Summary'!A30-'Input Summary'!$A$22+1),'Input Summary'!A30+1,""))</f>
        <v>2033</v>
      </c>
      <c r="B31" s="87" t="str">
        <f>IF(A31="","",IF('General Input'!$D$7&gt;('Input Summary'!A31-'Input Summary'!$A$22),"Design",IF(SUM('General Input'!$D$7:$D$8)&gt;('Input Summary'!A31-'Input Summary'!$A$22),"Construction","Production")))</f>
        <v>Production</v>
      </c>
      <c r="C31" s="202" t="str">
        <f>IF(ISNA(VLOOKUP(A31,'Total Permanent Investment'!$D$4:$E$7,2,FALSE)),"",VLOOKUP(A31,'Total Permanent Investment'!$D$4:$E$7,2,FALSE))</f>
        <v/>
      </c>
      <c r="D31" s="202"/>
      <c r="E31" s="100">
        <f>IF(B31="","",IF(B31="Design",0,IF(B31="Construction",0,IF(AND(B31="Production",E30=0)=TRUE,'General Input'!$D$28*'General Input'!$D$27,MIN(('General Input'!$D$27-'General Input'!$D$27*'General Input'!$D$28)/'General Input'!$D$29+'Input Summary'!E30,'General Input'!$D$27)))))</f>
        <v>1</v>
      </c>
      <c r="F31" s="101">
        <f t="shared" si="0"/>
        <v>4.5220000000000003E-2</v>
      </c>
      <c r="H31" s="102">
        <f>IF(A31="","",IF(A31&lt;(SUM('General Input'!$D$11,'General Input'!$D$8,'General Input'!$D$7)),"",VLOOKUP(A31,'Selling Price'!$A$8:$D$53,4,FALSE)))</f>
        <v>55551</v>
      </c>
      <c r="J31" s="87">
        <f>IF(A31="","",IF(A31&gt;(SUM('General Input'!$D$7:$D$8,'General Input'!$D$11)-1),VLOOKUP((A31-SUM('General Input'!$D$7:$D$8,'General Input'!$D$11)+1),'General Input'!$I$26:$N$58,HLOOKUP('General Input'!$D$33,'General Input'!$J$24:$N$25,2,FALSE),FALSE),""))</f>
        <v>4.5220000000000003E-2</v>
      </c>
    </row>
    <row r="32" spans="1:10">
      <c r="A32" s="87">
        <f>IF(A31="","",IF('General Input'!$D$10&gt;('Input Summary'!A31-'Input Summary'!$A$22+1),'Input Summary'!A31+1,""))</f>
        <v>2034</v>
      </c>
      <c r="B32" s="87" t="str">
        <f>IF(A32="","",IF('General Input'!$D$7&gt;('Input Summary'!A32-'Input Summary'!$A$22),"Design",IF(SUM('General Input'!$D$7:$D$8)&gt;('Input Summary'!A32-'Input Summary'!$A$22),"Construction","Production")))</f>
        <v>Production</v>
      </c>
      <c r="C32" s="202" t="str">
        <f>IF(ISNA(VLOOKUP(A32,'Total Permanent Investment'!$D$4:$E$7,2,FALSE)),"",VLOOKUP(A32,'Total Permanent Investment'!$D$4:$E$7,2,FALSE))</f>
        <v/>
      </c>
      <c r="D32" s="202"/>
      <c r="E32" s="100">
        <f>IF(B32="","",IF(B32="Design",0,IF(B32="Construction",0,IF(AND(B32="Production",E31=0)=TRUE,'General Input'!$D$28*'General Input'!$D$27,MIN(('General Input'!$D$27-'General Input'!$D$27*'General Input'!$D$28)/'General Input'!$D$29+'Input Summary'!E31,'General Input'!$D$27)))))</f>
        <v>1</v>
      </c>
      <c r="F32" s="101">
        <f t="shared" si="0"/>
        <v>4.462E-2</v>
      </c>
      <c r="H32" s="102">
        <f>IF(A32="","",IF(A32&lt;(SUM('General Input'!$D$11,'General Input'!$D$8,'General Input'!$D$7)),"",VLOOKUP(A32,'Selling Price'!$A$8:$D$53,4,FALSE)))</f>
        <v>55551</v>
      </c>
      <c r="J32" s="87">
        <f>IF(A32="","",IF(A32&gt;(SUM('General Input'!$D$7:$D$8,'General Input'!$D$11)-1),VLOOKUP((A32-SUM('General Input'!$D$7:$D$8,'General Input'!$D$11)+1),'General Input'!$I$26:$N$58,HLOOKUP('General Input'!$D$33,'General Input'!$J$24:$N$25,2,FALSE),FALSE),""))</f>
        <v>4.462E-2</v>
      </c>
    </row>
    <row r="33" spans="1:10">
      <c r="A33" s="87">
        <f>IF(A32="","",IF('General Input'!$D$10&gt;('Input Summary'!A32-'Input Summary'!$A$22+1),'Input Summary'!A32+1,""))</f>
        <v>2035</v>
      </c>
      <c r="B33" s="87" t="str">
        <f>IF(A33="","",IF('General Input'!$D$7&gt;('Input Summary'!A33-'Input Summary'!$A$22),"Design",IF(SUM('General Input'!$D$7:$D$8)&gt;('Input Summary'!A33-'Input Summary'!$A$22),"Construction","Production")))</f>
        <v>Production</v>
      </c>
      <c r="C33" s="202" t="str">
        <f>IF(ISNA(VLOOKUP(A33,'Total Permanent Investment'!$D$4:$E$7,2,FALSE)),"",VLOOKUP(A33,'Total Permanent Investment'!$D$4:$E$7,2,FALSE))</f>
        <v/>
      </c>
      <c r="D33" s="202"/>
      <c r="E33" s="100">
        <f>IF(B33="","",IF(B33="Design",0,IF(B33="Construction",0,IF(AND(B33="Production",E32=0)=TRUE,'General Input'!$D$28*'General Input'!$D$27,MIN(('General Input'!$D$27-'General Input'!$D$27*'General Input'!$D$28)/'General Input'!$D$29+'Input Summary'!E32,'General Input'!$D$27)))))</f>
        <v>1</v>
      </c>
      <c r="F33" s="101">
        <f t="shared" si="0"/>
        <v>4.4610000000000004E-2</v>
      </c>
      <c r="H33" s="102">
        <f>IF(A33="","",IF(A33&lt;(SUM('General Input'!$D$11,'General Input'!$D$8,'General Input'!$D$7)),"",VLOOKUP(A33,'Selling Price'!$A$8:$D$53,4,FALSE)))</f>
        <v>55551</v>
      </c>
      <c r="J33" s="87">
        <f>IF(A33="","",IF(A33&gt;(SUM('General Input'!$D$7:$D$8,'General Input'!$D$11)-1),VLOOKUP((A33-SUM('General Input'!$D$7:$D$8,'General Input'!$D$11)+1),'General Input'!$I$26:$N$58,HLOOKUP('General Input'!$D$33,'General Input'!$J$24:$N$25,2,FALSE),FALSE),""))</f>
        <v>4.4610000000000004E-2</v>
      </c>
    </row>
    <row r="34" spans="1:10">
      <c r="A34" s="87">
        <f>IF(A33="","",IF('General Input'!$D$10&gt;('Input Summary'!A33-'Input Summary'!$A$22+1),'Input Summary'!A33+1,""))</f>
        <v>2036</v>
      </c>
      <c r="B34" s="87" t="str">
        <f>IF(A34="","",IF('General Input'!$D$7&gt;('Input Summary'!A34-'Input Summary'!$A$22),"Design",IF(SUM('General Input'!$D$7:$D$8)&gt;('Input Summary'!A34-'Input Summary'!$A$22),"Construction","Production")))</f>
        <v>Production</v>
      </c>
      <c r="C34" s="202" t="str">
        <f>IF(ISNA(VLOOKUP(A34,'Total Permanent Investment'!$D$4:$E$7,2,FALSE)),"",VLOOKUP(A34,'Total Permanent Investment'!$D$4:$E$7,2,FALSE))</f>
        <v/>
      </c>
      <c r="D34" s="202"/>
      <c r="E34" s="100">
        <f>IF(B34="","",IF(B34="Design",0,IF(B34="Construction",0,IF(AND(B34="Production",E33=0)=TRUE,'General Input'!$D$28*'General Input'!$D$27,MIN(('General Input'!$D$27-'General Input'!$D$27*'General Input'!$D$28)/'General Input'!$D$29+'Input Summary'!E33,'General Input'!$D$27)))))</f>
        <v>1</v>
      </c>
      <c r="F34" s="101">
        <f t="shared" si="0"/>
        <v>4.462E-2</v>
      </c>
      <c r="H34" s="102">
        <f>IF(A34="","",IF(A34&lt;(SUM('General Input'!$D$11,'General Input'!$D$8,'General Input'!$D$7)),"",VLOOKUP(A34,'Selling Price'!$A$8:$D$53,4,FALSE)))</f>
        <v>55551</v>
      </c>
      <c r="J34" s="87">
        <f>IF(A34="","",IF(A34&gt;(SUM('General Input'!$D$7:$D$8,'General Input'!$D$11)-1),VLOOKUP((A34-SUM('General Input'!$D$7:$D$8,'General Input'!$D$11)+1),'General Input'!$I$26:$N$58,HLOOKUP('General Input'!$D$33,'General Input'!$J$24:$N$25,2,FALSE),FALSE),""))</f>
        <v>4.462E-2</v>
      </c>
    </row>
    <row r="35" spans="1:10">
      <c r="A35" s="87">
        <f>IF(A34="","",IF('General Input'!$D$10&gt;('Input Summary'!A34-'Input Summary'!$A$22+1),'Input Summary'!A34+1,""))</f>
        <v>2037</v>
      </c>
      <c r="B35" s="87" t="str">
        <f>IF(A35="","",IF('General Input'!$D$7&gt;('Input Summary'!A35-'Input Summary'!$A$22),"Design",IF(SUM('General Input'!$D$7:$D$8)&gt;('Input Summary'!A35-'Input Summary'!$A$22),"Construction","Production")))</f>
        <v>Production</v>
      </c>
      <c r="C35" s="202" t="str">
        <f>IF(ISNA(VLOOKUP(A35,'Total Permanent Investment'!$D$4:$E$7,2,FALSE)),"",VLOOKUP(A35,'Total Permanent Investment'!$D$4:$E$7,2,FALSE))</f>
        <v/>
      </c>
      <c r="D35" s="202"/>
      <c r="E35" s="100">
        <f>IF(B35="","",IF(B35="Design",0,IF(B35="Construction",0,IF(AND(B35="Production",E34=0)=TRUE,'General Input'!$D$28*'General Input'!$D$27,MIN(('General Input'!$D$27-'General Input'!$D$27*'General Input'!$D$28)/'General Input'!$D$29+'Input Summary'!E34,'General Input'!$D$27)))))</f>
        <v>1</v>
      </c>
      <c r="F35" s="101">
        <f t="shared" si="0"/>
        <v>4.4610000000000004E-2</v>
      </c>
      <c r="H35" s="102">
        <f>IF(A35="","",IF(A35&lt;(SUM('General Input'!$D$11,'General Input'!$D$8,'General Input'!$D$7)),"",VLOOKUP(A35,'Selling Price'!$A$8:$D$53,4,FALSE)))</f>
        <v>55551</v>
      </c>
      <c r="J35" s="87">
        <f>IF(A35="","",IF(A35&gt;(SUM('General Input'!$D$7:$D$8,'General Input'!$D$11)-1),VLOOKUP((A35-SUM('General Input'!$D$7:$D$8,'General Input'!$D$11)+1),'General Input'!$I$26:$N$58,HLOOKUP('General Input'!$D$33,'General Input'!$J$24:$N$25,2,FALSE),FALSE),""))</f>
        <v>4.4610000000000004E-2</v>
      </c>
    </row>
    <row r="36" spans="1:10">
      <c r="A36" s="87">
        <f>IF(A35="","",IF('General Input'!$D$10&gt;('Input Summary'!A35-'Input Summary'!$A$22+1),'Input Summary'!A35+1,""))</f>
        <v>2038</v>
      </c>
      <c r="B36" s="87" t="str">
        <f>IF(A36="","",IF('General Input'!$D$7&gt;('Input Summary'!A36-'Input Summary'!$A$22),"Design",IF(SUM('General Input'!$D$7:$D$8)&gt;('Input Summary'!A36-'Input Summary'!$A$22),"Construction","Production")))</f>
        <v>Production</v>
      </c>
      <c r="C36" s="202" t="str">
        <f>IF(ISNA(VLOOKUP(A36,'Total Permanent Investment'!$D$4:$E$7,2,FALSE)),"",VLOOKUP(A36,'Total Permanent Investment'!$D$4:$E$7,2,FALSE))</f>
        <v/>
      </c>
      <c r="D36" s="202"/>
      <c r="E36" s="100">
        <f>IF(B36="","",IF(B36="Design",0,IF(B36="Construction",0,IF(AND(B36="Production",E35=0)=TRUE,'General Input'!$D$28*'General Input'!$D$27,MIN(('General Input'!$D$27-'General Input'!$D$27*'General Input'!$D$28)/'General Input'!$D$29+'Input Summary'!E35,'General Input'!$D$27)))))</f>
        <v>1</v>
      </c>
      <c r="F36" s="101">
        <f t="shared" si="0"/>
        <v>4.462E-2</v>
      </c>
      <c r="H36" s="102">
        <f>IF(A36="","",IF(A36&lt;(SUM('General Input'!$D$11,'General Input'!$D$8,'General Input'!$D$7)),"",VLOOKUP(A36,'Selling Price'!$A$8:$D$53,4,FALSE)))</f>
        <v>55551</v>
      </c>
      <c r="J36" s="87">
        <f>IF(A36="","",IF(A36&gt;(SUM('General Input'!$D$7:$D$8,'General Input'!$D$11)-1),VLOOKUP((A36-SUM('General Input'!$D$7:$D$8,'General Input'!$D$11)+1),'General Input'!$I$26:$N$58,HLOOKUP('General Input'!$D$33,'General Input'!$J$24:$N$25,2,FALSE),FALSE),""))</f>
        <v>4.462E-2</v>
      </c>
    </row>
    <row r="37" spans="1:10">
      <c r="A37" s="87">
        <f>IF(A36="","",IF('General Input'!$D$10&gt;('Input Summary'!A36-'Input Summary'!$A$22+1),'Input Summary'!A36+1,""))</f>
        <v>2039</v>
      </c>
      <c r="B37" s="87" t="str">
        <f>IF(A37="","",IF('General Input'!$D$7&gt;('Input Summary'!A37-'Input Summary'!$A$22),"Design",IF(SUM('General Input'!$D$7:$D$8)&gt;('Input Summary'!A37-'Input Summary'!$A$22),"Construction","Production")))</f>
        <v>Production</v>
      </c>
      <c r="C37" s="202" t="str">
        <f>IF(ISNA(VLOOKUP(A37,'Total Permanent Investment'!$D$4:$E$7,2,FALSE)),"",VLOOKUP(A37,'Total Permanent Investment'!$D$4:$E$7,2,FALSE))</f>
        <v/>
      </c>
      <c r="D37" s="202"/>
      <c r="E37" s="100">
        <f>IF(B37="","",IF(B37="Design",0,IF(B37="Construction",0,IF(AND(B37="Production",E36=0)=TRUE,'General Input'!$D$28*'General Input'!$D$27,MIN(('General Input'!$D$27-'General Input'!$D$27*'General Input'!$D$28)/'General Input'!$D$29+'Input Summary'!E36,'General Input'!$D$27)))))</f>
        <v>1</v>
      </c>
      <c r="F37" s="101">
        <f t="shared" si="0"/>
        <v>4.4610000000000004E-2</v>
      </c>
      <c r="H37" s="102">
        <f>IF(A37="","",IF(A37&lt;(SUM('General Input'!$D$11,'General Input'!$D$8,'General Input'!$D$7)),"",VLOOKUP(A37,'Selling Price'!$A$8:$D$53,4,FALSE)))</f>
        <v>55551</v>
      </c>
      <c r="J37" s="87">
        <f>IF(A37="","",IF(A37&gt;(SUM('General Input'!$D$7:$D$8,'General Input'!$D$11)-1),VLOOKUP((A37-SUM('General Input'!$D$7:$D$8,'General Input'!$D$11)+1),'General Input'!$I$26:$N$58,HLOOKUP('General Input'!$D$33,'General Input'!$J$24:$N$25,2,FALSE),FALSE),""))</f>
        <v>4.4610000000000004E-2</v>
      </c>
    </row>
    <row r="38" spans="1:10">
      <c r="A38" s="87">
        <f>IF(A37="","",IF('General Input'!$D$10&gt;('Input Summary'!A37-'Input Summary'!$A$22+1),'Input Summary'!A37+1,""))</f>
        <v>2040</v>
      </c>
      <c r="B38" s="87" t="str">
        <f>IF(A38="","",IF('General Input'!$D$7&gt;('Input Summary'!A38-'Input Summary'!$A$22),"Design",IF(SUM('General Input'!$D$7:$D$8)&gt;('Input Summary'!A38-'Input Summary'!$A$22),"Construction","Production")))</f>
        <v>Production</v>
      </c>
      <c r="C38" s="202" t="str">
        <f>IF(ISNA(VLOOKUP(A38,'Total Permanent Investment'!$D$4:$E$7,2,FALSE)),"",VLOOKUP(A38,'Total Permanent Investment'!$D$4:$E$7,2,FALSE))</f>
        <v/>
      </c>
      <c r="D38" s="202"/>
      <c r="E38" s="100">
        <f>IF(B38="","",IF(B38="Design",0,IF(B38="Construction",0,IF(AND(B38="Production",E37=0)=TRUE,'General Input'!$D$28*'General Input'!$D$27,MIN(('General Input'!$D$27-'General Input'!$D$27*'General Input'!$D$28)/'General Input'!$D$29+'Input Summary'!E37,'General Input'!$D$27)))))</f>
        <v>1</v>
      </c>
      <c r="F38" s="101">
        <f t="shared" si="0"/>
        <v>4.462E-2</v>
      </c>
      <c r="H38" s="102">
        <f>IF(A38="","",IF(A38&lt;(SUM('General Input'!$D$11,'General Input'!$D$8,'General Input'!$D$7)),"",VLOOKUP(A38,'Selling Price'!$A$8:$D$53,4,FALSE)))</f>
        <v>55551</v>
      </c>
      <c r="J38" s="87">
        <f>IF(A38="","",IF(A38&gt;(SUM('General Input'!$D$7:$D$8,'General Input'!$D$11)-1),VLOOKUP((A38-SUM('General Input'!$D$7:$D$8,'General Input'!$D$11)+1),'General Input'!$I$26:$N$58,HLOOKUP('General Input'!$D$33,'General Input'!$J$24:$N$25,2,FALSE),FALSE),""))</f>
        <v>4.462E-2</v>
      </c>
    </row>
    <row r="39" spans="1:10">
      <c r="A39" s="87">
        <f>IF(A38="","",IF('General Input'!$D$10&gt;('Input Summary'!A38-'Input Summary'!$A$22+1),'Input Summary'!A38+1,""))</f>
        <v>2041</v>
      </c>
      <c r="B39" s="87" t="str">
        <f>IF(A39="","",IF('General Input'!$D$7&gt;('Input Summary'!A39-'Input Summary'!$A$22),"Design",IF(SUM('General Input'!$D$7:$D$8)&gt;('Input Summary'!A39-'Input Summary'!$A$22),"Construction","Production")))</f>
        <v>Production</v>
      </c>
      <c r="C39" s="202" t="str">
        <f>IF(ISNA(VLOOKUP(A39,'Total Permanent Investment'!$D$4:$E$7,2,FALSE)),"",VLOOKUP(A39,'Total Permanent Investment'!$D$4:$E$7,2,FALSE))</f>
        <v/>
      </c>
      <c r="D39" s="202"/>
      <c r="E39" s="100">
        <f>IF(B39="","",IF(B39="Design",0,IF(B39="Construction",0,IF(AND(B39="Production",E38=0)=TRUE,'General Input'!$D$28*'General Input'!$D$27,MIN(('General Input'!$D$27-'General Input'!$D$27*'General Input'!$D$28)/'General Input'!$D$29+'Input Summary'!E38,'General Input'!$D$27)))))</f>
        <v>1</v>
      </c>
      <c r="F39" s="101">
        <f t="shared" si="0"/>
        <v>4.4610000000000004E-2</v>
      </c>
      <c r="H39" s="102">
        <f>IF(A39="","",IF(A39&lt;(SUM('General Input'!$D$11,'General Input'!$D$8,'General Input'!$D$7)),"",VLOOKUP(A39,'Selling Price'!$A$8:$D$53,4,FALSE)))</f>
        <v>55551</v>
      </c>
      <c r="J39" s="87">
        <f>IF(A39="","",IF(A39&gt;(SUM('General Input'!$D$7:$D$8,'General Input'!$D$11)-1),VLOOKUP((A39-SUM('General Input'!$D$7:$D$8,'General Input'!$D$11)+1),'General Input'!$I$26:$N$58,HLOOKUP('General Input'!$D$33,'General Input'!$J$24:$N$25,2,FALSE),FALSE),""))</f>
        <v>4.4610000000000004E-2</v>
      </c>
    </row>
    <row r="40" spans="1:10">
      <c r="A40" s="87">
        <f>IF(A39="","",IF('General Input'!$D$10&gt;('Input Summary'!A39-'Input Summary'!$A$22+1),'Input Summary'!A39+1,""))</f>
        <v>2042</v>
      </c>
      <c r="B40" s="87" t="str">
        <f>IF(A40="","",IF('General Input'!$D$7&gt;('Input Summary'!A40-'Input Summary'!$A$22),"Design",IF(SUM('General Input'!$D$7:$D$8)&gt;('Input Summary'!A40-'Input Summary'!$A$22),"Construction","Production")))</f>
        <v>Production</v>
      </c>
      <c r="C40" s="202" t="str">
        <f>IF(ISNA(VLOOKUP(A40,'Total Permanent Investment'!$D$4:$E$7,2,FALSE)),"",VLOOKUP(A40,'Total Permanent Investment'!$D$4:$E$7,2,FALSE))</f>
        <v/>
      </c>
      <c r="D40" s="202"/>
      <c r="E40" s="100">
        <f>IF(B40="","",IF(B40="Design",0,IF(B40="Construction",0,IF(AND(B40="Production",E39=0)=TRUE,'General Input'!$D$28*'General Input'!$D$27,MIN(('General Input'!$D$27-'General Input'!$D$27*'General Input'!$D$28)/'General Input'!$D$29+'Input Summary'!E39,'General Input'!$D$27)))))</f>
        <v>1</v>
      </c>
      <c r="F40" s="101">
        <f t="shared" si="0"/>
        <v>4.462E-2</v>
      </c>
      <c r="H40" s="102">
        <f>IF(A40="","",IF(A40&lt;(SUM('General Input'!$D$11,'General Input'!$D$8,'General Input'!$D$7)),"",VLOOKUP(A40,'Selling Price'!$A$8:$D$53,4,FALSE)))</f>
        <v>55551</v>
      </c>
      <c r="J40" s="87">
        <f>IF(A40="","",IF(A40&gt;(SUM('General Input'!$D$7:$D$8,'General Input'!$D$11)-1),VLOOKUP((A40-SUM('General Input'!$D$7:$D$8,'General Input'!$D$11)+1),'General Input'!$I$26:$N$58,HLOOKUP('General Input'!$D$33,'General Input'!$J$24:$N$25,2,FALSE),FALSE),""))</f>
        <v>4.462E-2</v>
      </c>
    </row>
    <row r="41" spans="1:10">
      <c r="A41" s="87">
        <f>IF(A40="","",IF('General Input'!$D$10&gt;('Input Summary'!A40-'Input Summary'!$A$22+1),'Input Summary'!A40+1,""))</f>
        <v>2043</v>
      </c>
      <c r="B41" s="87" t="str">
        <f>IF(A41="","",IF('General Input'!$D$7&gt;('Input Summary'!A41-'Input Summary'!$A$22),"Design",IF(SUM('General Input'!$D$7:$D$8)&gt;('Input Summary'!A41-'Input Summary'!$A$22),"Construction","Production")))</f>
        <v>Production</v>
      </c>
      <c r="C41" s="202" t="str">
        <f>IF(ISNA(VLOOKUP(A41,'Total Permanent Investment'!$D$4:$E$7,2,FALSE)),"",VLOOKUP(A41,'Total Permanent Investment'!$D$4:$E$7,2,FALSE))</f>
        <v/>
      </c>
      <c r="D41" s="202"/>
      <c r="E41" s="100">
        <f>IF(B41="","",IF(B41="Design",0,IF(B41="Construction",0,IF(AND(B41="Production",E40=0)=TRUE,'General Input'!$D$28*'General Input'!$D$27,MIN(('General Input'!$D$27-'General Input'!$D$27*'General Input'!$D$28)/'General Input'!$D$29+'Input Summary'!E40,'General Input'!$D$27)))))</f>
        <v>1</v>
      </c>
      <c r="F41" s="101">
        <f t="shared" si="0"/>
        <v>4.4610000000000004E-2</v>
      </c>
      <c r="H41" s="102">
        <f>IF(A41="","",IF(A41&lt;(SUM('General Input'!$D$11,'General Input'!$D$8,'General Input'!$D$7)),"",VLOOKUP(A41,'Selling Price'!$A$8:$D$53,4,FALSE)))</f>
        <v>55551</v>
      </c>
      <c r="J41" s="87">
        <f>IF(A41="","",IF(A41&gt;(SUM('General Input'!$D$7:$D$8,'General Input'!$D$11)-1),VLOOKUP((A41-SUM('General Input'!$D$7:$D$8,'General Input'!$D$11)+1),'General Input'!$I$26:$N$58,HLOOKUP('General Input'!$D$33,'General Input'!$J$24:$N$25,2,FALSE),FALSE),""))</f>
        <v>4.4610000000000004E-2</v>
      </c>
    </row>
    <row r="42" spans="1:10">
      <c r="A42" s="87">
        <f>IF(A41="","",IF('General Input'!$D$10&gt;('Input Summary'!A41-'Input Summary'!$A$22+1),'Input Summary'!A41+1,""))</f>
        <v>2044</v>
      </c>
      <c r="B42" s="87" t="str">
        <f>IF(A42="","",IF('General Input'!$D$7&gt;('Input Summary'!A42-'Input Summary'!$A$22),"Design",IF(SUM('General Input'!$D$7:$D$8)&gt;('Input Summary'!A42-'Input Summary'!$A$22),"Construction","Production")))</f>
        <v>Production</v>
      </c>
      <c r="C42" s="202" t="str">
        <f>IF(ISNA(VLOOKUP(A42,'Total Permanent Investment'!$D$4:$E$7,2,FALSE)),"",VLOOKUP(A42,'Total Permanent Investment'!$D$4:$E$7,2,FALSE))</f>
        <v/>
      </c>
      <c r="D42" s="202"/>
      <c r="E42" s="100">
        <f>IF(B42="","",IF(B42="Design",0,IF(B42="Construction",0,IF(AND(B42="Production",E41=0)=TRUE,'General Input'!$D$28*'General Input'!$D$27,MIN(('General Input'!$D$27-'General Input'!$D$27*'General Input'!$D$28)/'General Input'!$D$29+'Input Summary'!E41,'General Input'!$D$27)))))</f>
        <v>1</v>
      </c>
      <c r="F42" s="101">
        <f t="shared" si="0"/>
        <v>4.462E-2</v>
      </c>
      <c r="H42" s="102">
        <f>IF(A42="","",IF(A42&lt;(SUM('General Input'!$D$11,'General Input'!$D$8,'General Input'!$D$7)),"",VLOOKUP(A42,'Selling Price'!$A$8:$D$53,4,FALSE)))</f>
        <v>55551</v>
      </c>
      <c r="J42" s="87">
        <f>IF(A42="","",IF(A42&gt;(SUM('General Input'!$D$7:$D$8,'General Input'!$D$11)-1),VLOOKUP((A42-SUM('General Input'!$D$7:$D$8,'General Input'!$D$11)+1),'General Input'!$I$26:$N$58,HLOOKUP('General Input'!$D$33,'General Input'!$J$24:$N$25,2,FALSE),FALSE),""))</f>
        <v>4.462E-2</v>
      </c>
    </row>
    <row r="43" spans="1:10">
      <c r="A43" s="87">
        <f>IF(A42="","",IF('General Input'!$D$10&gt;('Input Summary'!A42-'Input Summary'!$A$22+1),'Input Summary'!A42+1,""))</f>
        <v>2045</v>
      </c>
      <c r="B43" s="87" t="str">
        <f>IF(A43="","",IF('General Input'!$D$7&gt;('Input Summary'!A43-'Input Summary'!$A$22),"Design",IF(SUM('General Input'!$D$7:$D$8)&gt;('Input Summary'!A43-'Input Summary'!$A$22),"Construction","Production")))</f>
        <v>Production</v>
      </c>
      <c r="C43" s="202" t="str">
        <f>IF(ISNA(VLOOKUP(A43,'Total Permanent Investment'!$D$4:$E$7,2,FALSE)),"",VLOOKUP(A43,'Total Permanent Investment'!$D$4:$E$7,2,FALSE))</f>
        <v/>
      </c>
      <c r="D43" s="202"/>
      <c r="E43" s="100">
        <f>IF(B43="","",IF(B43="Design",0,IF(B43="Construction",0,IF(AND(B43="Production",E42=0)=TRUE,'General Input'!$D$28*'General Input'!$D$27,MIN(('General Input'!$D$27-'General Input'!$D$27*'General Input'!$D$28)/'General Input'!$D$29+'Input Summary'!E42,'General Input'!$D$27)))))</f>
        <v>1</v>
      </c>
      <c r="F43" s="101">
        <f t="shared" si="0"/>
        <v>4.4610000000000004E-2</v>
      </c>
      <c r="H43" s="102">
        <f>IF(A43="","",IF(A43&lt;(SUM('General Input'!$D$11,'General Input'!$D$8,'General Input'!$D$7)),"",VLOOKUP(A43,'Selling Price'!$A$8:$D$53,4,FALSE)))</f>
        <v>55551</v>
      </c>
      <c r="J43" s="87">
        <f>IF(A43="","",IF(A43&gt;(SUM('General Input'!$D$7:$D$8,'General Input'!$D$11)-1),VLOOKUP((A43-SUM('General Input'!$D$7:$D$8,'General Input'!$D$11)+1),'General Input'!$I$26:$N$58,HLOOKUP('General Input'!$D$33,'General Input'!$J$24:$N$25,2,FALSE),FALSE),""))</f>
        <v>4.4610000000000004E-2</v>
      </c>
    </row>
    <row r="44" spans="1:10">
      <c r="A44" s="87" t="str">
        <f>IF(A43="","",IF('General Input'!$D$10&gt;('Input Summary'!A43-'Input Summary'!$A$22+1),'Input Summary'!A43+1,""))</f>
        <v/>
      </c>
      <c r="B44" s="87" t="str">
        <f>IF(A44="","",IF('General Input'!$D$7&gt;('Input Summary'!A44-'Input Summary'!$A$22),"Design",IF(SUM('General Input'!$D$7:$D$8)&gt;('Input Summary'!A44-'Input Summary'!$A$22),"Construction","Production")))</f>
        <v/>
      </c>
      <c r="C44" s="202" t="str">
        <f>IF(ISNA(VLOOKUP(A44,'Total Permanent Investment'!$D$4:$E$7,2,FALSE)),"",VLOOKUP(A44,'Total Permanent Investment'!$D$4:$E$7,2,FALSE))</f>
        <v/>
      </c>
      <c r="D44" s="202"/>
      <c r="E44" s="100" t="str">
        <f>IF(B44="","",IF(B44="Design",0,IF(B44="Construction",0,IF(AND(B44="Production",E43=0)=TRUE,'General Input'!$D$28*'General Input'!$D$27,MIN(('General Input'!$D$27-'General Input'!$D$27*'General Input'!$D$28)/'General Input'!$D$29+'Input Summary'!E43,'General Input'!$D$27)))))</f>
        <v/>
      </c>
      <c r="F44" s="101" t="str">
        <f t="shared" si="0"/>
        <v/>
      </c>
      <c r="H44" s="102" t="str">
        <f>IF(A44="","",IF(A44&lt;(SUM('General Input'!$D$11,'General Input'!$D$8,'General Input'!$D$7)),"",VLOOKUP(A44,'Selling Price'!$A$8:$D$53,4,FALSE)))</f>
        <v/>
      </c>
      <c r="J44" s="87" t="str">
        <f>IF(A44="","",IF(A44&gt;(SUM('General Input'!$D$7:$D$8,'General Input'!$D$11)-1),VLOOKUP((A44-SUM('General Input'!$D$7:$D$8,'General Input'!$D$11)+1),'General Input'!$I$26:$N$58,HLOOKUP('General Input'!$D$33,'General Input'!$J$24:$N$25,2,FALSE),FALSE),""))</f>
        <v/>
      </c>
    </row>
    <row r="45" spans="1:10">
      <c r="A45" s="87" t="str">
        <f>IF(A44="","",IF('General Input'!$D$10&gt;('Input Summary'!A44-'Input Summary'!$A$22+1),'Input Summary'!A44+1,""))</f>
        <v/>
      </c>
      <c r="B45" s="87" t="str">
        <f>IF(A45="","",IF('General Input'!$D$7&gt;('Input Summary'!A45-'Input Summary'!$A$22),"Design",IF(SUM('General Input'!$D$7:$D$8)&gt;('Input Summary'!A45-'Input Summary'!$A$22),"Construction","Production")))</f>
        <v/>
      </c>
      <c r="C45" s="202" t="str">
        <f>IF(ISNA(VLOOKUP(A45,'Total Permanent Investment'!$D$4:$E$7,2,FALSE)),"",VLOOKUP(A45,'Total Permanent Investment'!$D$4:$E$7,2,FALSE))</f>
        <v/>
      </c>
      <c r="D45" s="202"/>
      <c r="E45" s="100" t="str">
        <f>IF(B45="","",IF(B45="Design",0,IF(B45="Construction",0,IF(AND(B45="Production",E44=0)=TRUE,'General Input'!$D$28*'General Input'!$D$27,MIN(('General Input'!$D$27-'General Input'!$D$27*'General Input'!$D$28)/'General Input'!$D$29+'Input Summary'!E44,'General Input'!$D$27)))))</f>
        <v/>
      </c>
      <c r="F45" s="101" t="str">
        <f t="shared" si="0"/>
        <v/>
      </c>
      <c r="H45" s="102" t="str">
        <f>IF(A45="","",IF(A45&lt;(SUM('General Input'!$D$11,'General Input'!$D$8,'General Input'!$D$7)),"",VLOOKUP(A45,'Selling Price'!$A$8:$D$53,4,FALSE)))</f>
        <v/>
      </c>
      <c r="J45" s="87" t="str">
        <f>IF(A45="","",IF(A45&gt;(SUM('General Input'!$D$7:$D$8,'General Input'!$D$11)-1),VLOOKUP((A45-SUM('General Input'!$D$7:$D$8,'General Input'!$D$11)+1),'General Input'!$I$26:$N$58,HLOOKUP('General Input'!$D$33,'General Input'!$J$24:$N$25,2,FALSE),FALSE),""))</f>
        <v/>
      </c>
    </row>
    <row r="46" spans="1:10">
      <c r="A46" s="87" t="str">
        <f>IF(A45="","",IF('General Input'!$D$10&gt;('Input Summary'!A45-'Input Summary'!$A$22+1),'Input Summary'!A45+1,""))</f>
        <v/>
      </c>
      <c r="B46" s="87" t="str">
        <f>IF(A46="","",IF('General Input'!$D$7&gt;('Input Summary'!A46-'Input Summary'!$A$22),"Design",IF(SUM('General Input'!$D$7:$D$8)&gt;('Input Summary'!A46-'Input Summary'!$A$22),"Construction","Production")))</f>
        <v/>
      </c>
      <c r="C46" s="202" t="str">
        <f>IF(ISNA(VLOOKUP(A46,'Total Permanent Investment'!$D$4:$E$7,2,FALSE)),"",VLOOKUP(A46,'Total Permanent Investment'!$D$4:$E$7,2,FALSE))</f>
        <v/>
      </c>
      <c r="D46" s="202"/>
      <c r="E46" s="100" t="str">
        <f>IF(B46="","",IF(B46="Design",0,IF(B46="Construction",0,IF(AND(B46="Production",E45=0)=TRUE,'General Input'!$D$28*'General Input'!$D$27,MIN(('General Input'!$D$27-'General Input'!$D$27*'General Input'!$D$28)/'General Input'!$D$29+'Input Summary'!E45,'General Input'!$D$27)))))</f>
        <v/>
      </c>
      <c r="F46" s="101" t="str">
        <f t="shared" si="0"/>
        <v/>
      </c>
      <c r="H46" s="102" t="str">
        <f>IF(A46="","",IF(A46&lt;(SUM('General Input'!$D$11,'General Input'!$D$8,'General Input'!$D$7)),"",VLOOKUP(A46,'Selling Price'!$A$8:$D$53,4,FALSE)))</f>
        <v/>
      </c>
      <c r="J46" s="87" t="str">
        <f>IF(A46="","",IF(A46&gt;(SUM('General Input'!$D$7:$D$8,'General Input'!$D$11)-1),VLOOKUP((A46-SUM('General Input'!$D$7:$D$8,'General Input'!$D$11)+1),'General Input'!$I$26:$N$58,HLOOKUP('General Input'!$D$33,'General Input'!$J$24:$N$25,2,FALSE),FALSE),""))</f>
        <v/>
      </c>
    </row>
    <row r="47" spans="1:10">
      <c r="A47" s="87" t="str">
        <f>IF(A46="","",IF('General Input'!$D$10&gt;('Input Summary'!A46-'Input Summary'!$A$22+1),'Input Summary'!A46+1,""))</f>
        <v/>
      </c>
      <c r="B47" s="87" t="str">
        <f>IF(A47="","",IF('General Input'!$D$7&gt;('Input Summary'!A47-'Input Summary'!$A$22),"Design",IF(SUM('General Input'!$D$7:$D$8)&gt;('Input Summary'!A47-'Input Summary'!$A$22),"Construction","Production")))</f>
        <v/>
      </c>
      <c r="C47" s="202" t="str">
        <f>IF(ISNA(VLOOKUP(A47,'Total Permanent Investment'!$D$4:$E$7,2,FALSE)),"",VLOOKUP(A47,'Total Permanent Investment'!$D$4:$E$7,2,FALSE))</f>
        <v/>
      </c>
      <c r="D47" s="202"/>
      <c r="E47" s="100" t="str">
        <f>IF(B47="","",IF(B47="Design",0,IF(B47="Construction",0,IF(AND(B47="Production",E46=0)=TRUE,'General Input'!$D$28*'General Input'!$D$27,MIN(('General Input'!$D$27-'General Input'!$D$27*'General Input'!$D$28)/'General Input'!$D$29+'Input Summary'!E46,'General Input'!$D$27)))))</f>
        <v/>
      </c>
      <c r="F47" s="101" t="str">
        <f t="shared" si="0"/>
        <v/>
      </c>
      <c r="H47" s="102" t="str">
        <f>IF(A47="","",IF(A47&lt;(SUM('General Input'!$D$11,'General Input'!$D$8,'General Input'!$D$7)),"",VLOOKUP(A47,'Selling Price'!$A$8:$D$53,4,FALSE)))</f>
        <v/>
      </c>
      <c r="J47" s="87" t="str">
        <f>IF(A47="","",IF(A47&gt;(SUM('General Input'!$D$7:$D$8,'General Input'!$D$11)-1),VLOOKUP((A47-SUM('General Input'!$D$7:$D$8,'General Input'!$D$11)+1),'General Input'!$I$26:$N$58,HLOOKUP('General Input'!$D$33,'General Input'!$J$24:$N$25,2,FALSE),FALSE),""))</f>
        <v/>
      </c>
    </row>
    <row r="48" spans="1:10">
      <c r="A48" s="87" t="str">
        <f>IF(A47="","",IF('General Input'!$D$10&gt;('Input Summary'!A47-'Input Summary'!$A$22+1),'Input Summary'!A47+1,""))</f>
        <v/>
      </c>
      <c r="B48" s="87" t="str">
        <f>IF(A48="","",IF('General Input'!$D$7&gt;('Input Summary'!A48-'Input Summary'!$A$22),"Design",IF(SUM('General Input'!$D$7:$D$8)&gt;('Input Summary'!A48-'Input Summary'!$A$22),"Construction","Production")))</f>
        <v/>
      </c>
      <c r="C48" s="202" t="str">
        <f>IF(ISNA(VLOOKUP(A48,'Total Permanent Investment'!$D$4:$E$7,2,FALSE)),"",VLOOKUP(A48,'Total Permanent Investment'!$D$4:$E$7,2,FALSE))</f>
        <v/>
      </c>
      <c r="D48" s="202"/>
      <c r="E48" s="100" t="str">
        <f>IF(B48="","",IF(B48="Design",0,IF(B48="Construction",0,IF(AND(B48="Production",E47=0)=TRUE,'General Input'!$D$28*'General Input'!$D$27,MIN(('General Input'!$D$27-'General Input'!$D$27*'General Input'!$D$28)/'General Input'!$D$29+'Input Summary'!E47,'General Input'!$D$27)))))</f>
        <v/>
      </c>
      <c r="F48" s="101" t="str">
        <f t="shared" ref="F48:F56" si="1">IF(J48&gt;0,J48,"")</f>
        <v/>
      </c>
      <c r="H48" s="102" t="str">
        <f>IF(A48="","",IF(A48&lt;(SUM('General Input'!$D$11,'General Input'!$D$8,'General Input'!$D$7)),"",VLOOKUP(A48,'Selling Price'!$A$8:$D$53,4,FALSE)))</f>
        <v/>
      </c>
      <c r="J48" s="87" t="str">
        <f>IF(A48="","",IF(A48&gt;(SUM('General Input'!$D$7:$D$8,'General Input'!$D$11)-1),VLOOKUP((A48-SUM('General Input'!$D$7:$D$8,'General Input'!$D$11)+1),'General Input'!$I$26:$N$58,HLOOKUP('General Input'!$D$33,'General Input'!$J$24:$N$25,2,FALSE),FALSE),""))</f>
        <v/>
      </c>
    </row>
    <row r="49" spans="1:10">
      <c r="A49" s="87" t="str">
        <f>IF(A48="","",IF('General Input'!$D$10&gt;('Input Summary'!A48-'Input Summary'!$A$22+1),'Input Summary'!A48+1,""))</f>
        <v/>
      </c>
      <c r="B49" s="87" t="str">
        <f>IF(A49="","",IF('General Input'!$D$7&gt;('Input Summary'!A49-'Input Summary'!$A$22),"Design",IF(SUM('General Input'!$D$7:$D$8)&gt;('Input Summary'!A49-'Input Summary'!$A$22),"Construction","Production")))</f>
        <v/>
      </c>
      <c r="C49" s="202" t="str">
        <f>IF(ISNA(VLOOKUP(A49,'Total Permanent Investment'!$D$4:$E$7,2,FALSE)),"",VLOOKUP(A49,'Total Permanent Investment'!$D$4:$E$7,2,FALSE))</f>
        <v/>
      </c>
      <c r="D49" s="202"/>
      <c r="E49" s="100" t="str">
        <f>IF(B49="","",IF(B49="Design",0,IF(B49="Construction",0,IF(AND(B49="Production",E48=0)=TRUE,'General Input'!$D$28*'General Input'!$D$27,MIN(('General Input'!$D$27-'General Input'!$D$27*'General Input'!$D$28)/'General Input'!$D$29+'Input Summary'!E48,'General Input'!$D$27)))))</f>
        <v/>
      </c>
      <c r="F49" s="101" t="str">
        <f t="shared" si="1"/>
        <v/>
      </c>
      <c r="H49" s="102" t="str">
        <f>IF(A49="","",IF(A49&lt;(SUM('General Input'!$D$11,'General Input'!$D$8,'General Input'!$D$7)),"",VLOOKUP(A49,'Selling Price'!$A$8:$D$53,4,FALSE)))</f>
        <v/>
      </c>
      <c r="J49" s="87" t="str">
        <f>IF(A49="","",IF(A49&gt;(SUM('General Input'!$D$7:$D$8,'General Input'!$D$11)-1),VLOOKUP((A49-SUM('General Input'!$D$7:$D$8,'General Input'!$D$11)+1),'General Input'!$I$26:$N$58,HLOOKUP('General Input'!$D$33,'General Input'!$J$24:$N$25,2,FALSE),FALSE),""))</f>
        <v/>
      </c>
    </row>
    <row r="50" spans="1:10">
      <c r="A50" s="87" t="str">
        <f>IF(A49="","",IF('General Input'!$D$10&gt;('Input Summary'!A49-'Input Summary'!$A$22+1),'Input Summary'!A49+1,""))</f>
        <v/>
      </c>
      <c r="B50" s="87" t="str">
        <f>IF(A50="","",IF('General Input'!$D$7&gt;('Input Summary'!A50-'Input Summary'!$A$22),"Design",IF(SUM('General Input'!$D$7:$D$8)&gt;('Input Summary'!A50-'Input Summary'!$A$22),"Construction","Production")))</f>
        <v/>
      </c>
      <c r="C50" s="202" t="str">
        <f>IF(ISNA(VLOOKUP(A50,'Total Permanent Investment'!$D$4:$E$7,2,FALSE)),"",VLOOKUP(A50,'Total Permanent Investment'!$D$4:$E$7,2,FALSE))</f>
        <v/>
      </c>
      <c r="D50" s="202"/>
      <c r="E50" s="100" t="str">
        <f>IF(B50="","",IF(B50="Design",0,IF(B50="Construction",0,IF(AND(B50="Production",E49=0)=TRUE,'General Input'!$D$28*'General Input'!$D$27,MIN(('General Input'!$D$27-'General Input'!$D$27*'General Input'!$D$28)/'General Input'!$D$29+'Input Summary'!E49,'General Input'!$D$27)))))</f>
        <v/>
      </c>
      <c r="F50" s="101" t="str">
        <f t="shared" si="1"/>
        <v/>
      </c>
      <c r="H50" s="102" t="str">
        <f>IF(A50="","",IF(A50&lt;(SUM('General Input'!$D$11,'General Input'!$D$8,'General Input'!$D$7)),"",VLOOKUP(A50,'Selling Price'!$A$8:$D$53,4,FALSE)))</f>
        <v/>
      </c>
      <c r="J50" s="87" t="str">
        <f>IF(A50="","",IF(A50&gt;(SUM('General Input'!$D$7:$D$8,'General Input'!$D$11)-1),VLOOKUP((A50-SUM('General Input'!$D$7:$D$8,'General Input'!$D$11)+1),'General Input'!$I$26:$N$58,HLOOKUP('General Input'!$D$33,'General Input'!$J$24:$N$25,2,FALSE),FALSE),""))</f>
        <v/>
      </c>
    </row>
    <row r="51" spans="1:10">
      <c r="A51" s="87" t="str">
        <f>IF(A50="","",IF('General Input'!$D$10&gt;('Input Summary'!A50-'Input Summary'!$A$22+1),'Input Summary'!A50+1,""))</f>
        <v/>
      </c>
      <c r="B51" s="87" t="str">
        <f>IF(A51="","",IF('General Input'!$D$7&gt;('Input Summary'!A51-'Input Summary'!$A$22),"Design",IF(SUM('General Input'!$D$7:$D$8)&gt;('Input Summary'!A51-'Input Summary'!$A$22),"Construction","Production")))</f>
        <v/>
      </c>
      <c r="C51" s="202" t="str">
        <f>IF(ISNA(VLOOKUP(A51,'Total Permanent Investment'!$D$4:$E$7,2,FALSE)),"",VLOOKUP(A51,'Total Permanent Investment'!$D$4:$E$7,2,FALSE))</f>
        <v/>
      </c>
      <c r="D51" s="202"/>
      <c r="E51" s="100" t="str">
        <f>IF(B51="","",IF(B51="Design",0,IF(B51="Construction",0,IF(AND(B51="Production",E50=0)=TRUE,'General Input'!$D$28*'General Input'!$D$27,MIN(('General Input'!$D$27-'General Input'!$D$27*'General Input'!$D$28)/'General Input'!$D$29+'Input Summary'!E50,'General Input'!$D$27)))))</f>
        <v/>
      </c>
      <c r="F51" s="101" t="str">
        <f t="shared" si="1"/>
        <v/>
      </c>
      <c r="H51" s="102" t="str">
        <f>IF(A51="","",IF(A51&lt;(SUM('General Input'!$D$11,'General Input'!$D$8,'General Input'!$D$7)),"",VLOOKUP(A51,'Selling Price'!$A$8:$D$53,4,FALSE)))</f>
        <v/>
      </c>
      <c r="J51" s="87" t="str">
        <f>IF(A51="","",IF(A51&gt;(SUM('General Input'!$D$7:$D$8,'General Input'!$D$11)-1),VLOOKUP((A51-SUM('General Input'!$D$7:$D$8,'General Input'!$D$11)+1),'General Input'!$I$26:$N$58,HLOOKUP('General Input'!$D$33,'General Input'!$J$24:$N$25,2,FALSE),FALSE),""))</f>
        <v/>
      </c>
    </row>
    <row r="52" spans="1:10">
      <c r="A52" s="87" t="str">
        <f>IF(A51="","",IF('General Input'!$D$10&gt;('Input Summary'!A51-'Input Summary'!$A$22+1),'Input Summary'!A51+1,""))</f>
        <v/>
      </c>
      <c r="B52" s="87" t="str">
        <f>IF(A52="","",IF('General Input'!$D$7&gt;('Input Summary'!A52-'Input Summary'!$A$22),"Design",IF(SUM('General Input'!$D$7:$D$8)&gt;('Input Summary'!A52-'Input Summary'!$A$22),"Construction","Production")))</f>
        <v/>
      </c>
      <c r="C52" s="202" t="str">
        <f>IF(ISNA(VLOOKUP(A52,'Total Permanent Investment'!$D$4:$E$7,2,FALSE)),"",VLOOKUP(A52,'Total Permanent Investment'!$D$4:$E$7,2,FALSE))</f>
        <v/>
      </c>
      <c r="D52" s="202"/>
      <c r="E52" s="100" t="str">
        <f>IF(B52="","",IF(B52="Design",0,IF(B52="Construction",0,IF(AND(B52="Production",E51=0)=TRUE,'General Input'!$D$28*'General Input'!$D$27,MIN(('General Input'!$D$27-'General Input'!$D$27*'General Input'!$D$28)/'General Input'!$D$29+'Input Summary'!E51,'General Input'!$D$27)))))</f>
        <v/>
      </c>
      <c r="F52" s="101" t="str">
        <f t="shared" si="1"/>
        <v/>
      </c>
      <c r="H52" s="102" t="str">
        <f>IF(A52="","",IF(A52&lt;(SUM('General Input'!$D$11,'General Input'!$D$8,'General Input'!$D$7)),"",VLOOKUP(A52,'Selling Price'!$A$8:$D$53,4,FALSE)))</f>
        <v/>
      </c>
      <c r="J52" s="87" t="str">
        <f>IF(A52="","",IF(A52&gt;(SUM('General Input'!$D$7:$D$8,'General Input'!$D$11)-1),VLOOKUP((A52-SUM('General Input'!$D$7:$D$8,'General Input'!$D$11)+1),'General Input'!$I$26:$N$58,HLOOKUP('General Input'!$D$33,'General Input'!$J$24:$N$25,2,FALSE),FALSE),""))</f>
        <v/>
      </c>
    </row>
    <row r="53" spans="1:10">
      <c r="A53" s="87" t="str">
        <f>IF(A52="","",IF('General Input'!$D$10&gt;('Input Summary'!A52-'Input Summary'!$A$22+1),'Input Summary'!A52+1,""))</f>
        <v/>
      </c>
      <c r="B53" s="87" t="str">
        <f>IF(A53="","",IF('General Input'!$D$7&gt;('Input Summary'!A53-'Input Summary'!$A$22),"Design",IF(SUM('General Input'!$D$7:$D$8)&gt;('Input Summary'!A53-'Input Summary'!$A$22),"Construction","Production")))</f>
        <v/>
      </c>
      <c r="C53" s="202" t="str">
        <f>IF(ISNA(VLOOKUP(A53,'Total Permanent Investment'!$D$4:$E$7,2,FALSE)),"",VLOOKUP(A53,'Total Permanent Investment'!$D$4:$E$7,2,FALSE))</f>
        <v/>
      </c>
      <c r="D53" s="202"/>
      <c r="E53" s="100" t="str">
        <f>IF(B53="","",IF(B53="Design",0,IF(B53="Construction",0,IF(AND(B53="Production",E52=0)=TRUE,'General Input'!$D$28*'General Input'!$D$27,MIN(('General Input'!$D$27-'General Input'!$D$27*'General Input'!$D$28)/'General Input'!$D$29+'Input Summary'!E52,'General Input'!$D$27)))))</f>
        <v/>
      </c>
      <c r="F53" s="101" t="str">
        <f t="shared" si="1"/>
        <v/>
      </c>
      <c r="H53" s="102" t="str">
        <f>IF(A53="","",IF(A53&lt;(SUM('General Input'!$D$11,'General Input'!$D$8,'General Input'!$D$7)),"",VLOOKUP(A53,'Selling Price'!$A$8:$D$53,4,FALSE)))</f>
        <v/>
      </c>
      <c r="J53" s="87" t="str">
        <f>IF(A53="","",IF(A53&gt;(SUM('General Input'!$D$7:$D$8,'General Input'!$D$11)-1),VLOOKUP((A53-SUM('General Input'!$D$7:$D$8,'General Input'!$D$11)+1),'General Input'!$I$26:$N$58,HLOOKUP('General Input'!$D$33,'General Input'!$J$24:$N$25,2,FALSE),FALSE),""))</f>
        <v/>
      </c>
    </row>
    <row r="54" spans="1:10">
      <c r="A54" s="87" t="str">
        <f>IF(A53="","",IF('General Input'!$D$10&gt;('Input Summary'!A53-'Input Summary'!$A$22+1),'Input Summary'!A53+1,""))</f>
        <v/>
      </c>
      <c r="B54" s="87" t="str">
        <f>IF(A54="","",IF('General Input'!$D$7&gt;('Input Summary'!A54-'Input Summary'!$A$22),"Design",IF(SUM('General Input'!$D$7:$D$8)&gt;('Input Summary'!A54-'Input Summary'!$A$22),"Construction","Production")))</f>
        <v/>
      </c>
      <c r="C54" s="202" t="str">
        <f>IF(ISNA(VLOOKUP(A54,'Total Permanent Investment'!$D$4:$E$7,2,FALSE)),"",VLOOKUP(A54,'Total Permanent Investment'!$D$4:$E$7,2,FALSE))</f>
        <v/>
      </c>
      <c r="D54" s="202"/>
      <c r="E54" s="100" t="str">
        <f>IF(B54="","",IF(B54="Design",0,IF(B54="Construction",0,IF(AND(B54="Production",E53=0)=TRUE,'General Input'!$D$28*'General Input'!$D$27,MIN(('General Input'!$D$27-'General Input'!$D$27*'General Input'!$D$28)/'General Input'!$D$29+'Input Summary'!E53,'General Input'!$D$27)))))</f>
        <v/>
      </c>
      <c r="F54" s="101" t="str">
        <f t="shared" si="1"/>
        <v/>
      </c>
      <c r="H54" s="102" t="str">
        <f>IF(A54="","",IF(A54&lt;(SUM('General Input'!$D$11,'General Input'!$D$8,'General Input'!$D$7)),"",VLOOKUP(A54,'Selling Price'!$A$8:$D$53,4,FALSE)))</f>
        <v/>
      </c>
      <c r="J54" s="87" t="str">
        <f>IF(A54="","",IF(A54&gt;(SUM('General Input'!$D$7:$D$8,'General Input'!$D$11)-1),VLOOKUP((A54-SUM('General Input'!$D$7:$D$8,'General Input'!$D$11)+1),'General Input'!$I$26:$N$58,HLOOKUP('General Input'!$D$33,'General Input'!$J$24:$N$25,2,FALSE),FALSE),""))</f>
        <v/>
      </c>
    </row>
    <row r="55" spans="1:10">
      <c r="A55" s="87" t="str">
        <f>IF(A54="","",IF('General Input'!$D$10&gt;('Input Summary'!A54-'Input Summary'!$A$22+1),'Input Summary'!A54+1,""))</f>
        <v/>
      </c>
      <c r="B55" s="87" t="str">
        <f>IF(A55="","",IF('General Input'!$D$7&gt;('Input Summary'!A55-'Input Summary'!$A$22),"Design",IF(SUM('General Input'!$D$7:$D$8)&gt;('Input Summary'!A55-'Input Summary'!$A$22),"Construction","Production")))</f>
        <v/>
      </c>
      <c r="C55" s="202" t="str">
        <f>IF(ISNA(VLOOKUP(A55,'Total Permanent Investment'!$D$4:$E$7,2,FALSE)),"",VLOOKUP(A55,'Total Permanent Investment'!$D$4:$E$7,2,FALSE))</f>
        <v/>
      </c>
      <c r="D55" s="202"/>
      <c r="E55" s="100" t="str">
        <f>IF(B55="","",IF(B55="Design",0,IF(B55="Construction",0,IF(AND(B55="Production",E54=0)=TRUE,'General Input'!$D$28*'General Input'!$D$27,MIN(('General Input'!$D$27-'General Input'!$D$27*'General Input'!$D$28)/'General Input'!$D$29+'Input Summary'!E54,'General Input'!$D$27)))))</f>
        <v/>
      </c>
      <c r="F55" s="101" t="str">
        <f t="shared" si="1"/>
        <v/>
      </c>
      <c r="H55" s="102" t="str">
        <f>IF(A55="","",IF(A55&lt;(SUM('General Input'!$D$11,'General Input'!$D$8,'General Input'!$D$7)),"",VLOOKUP(A55,'Selling Price'!$A$8:$D$53,4,FALSE)))</f>
        <v/>
      </c>
      <c r="J55" s="87" t="str">
        <f>IF(A55="","",IF(A55&gt;(SUM('General Input'!$D$7:$D$8,'General Input'!$D$11)-1),VLOOKUP((A55-SUM('General Input'!$D$7:$D$8,'General Input'!$D$11)+1),'General Input'!$I$26:$N$58,HLOOKUP('General Input'!$D$33,'General Input'!$J$24:$N$25,2,FALSE),FALSE),""))</f>
        <v/>
      </c>
    </row>
    <row r="56" spans="1:10">
      <c r="A56" s="87" t="str">
        <f>IF(A55="","",IF('General Input'!$D$10&gt;('Input Summary'!A55-'Input Summary'!$A$22+1),'Input Summary'!A55+1,""))</f>
        <v/>
      </c>
      <c r="B56" s="87" t="str">
        <f>IF(A56="","",IF('General Input'!$D$7&gt;('Input Summary'!A56-'Input Summary'!$A$22),"Design",IF(SUM('General Input'!$D$7:$D$8)&gt;('Input Summary'!A56-'Input Summary'!$A$22),"Construction","Production")))</f>
        <v/>
      </c>
      <c r="C56" s="202" t="str">
        <f>IF(ISNA(VLOOKUP(A56,'Total Permanent Investment'!$D$4:$E$7,2,FALSE)),"",VLOOKUP(A56,'Total Permanent Investment'!$D$4:$E$7,2,FALSE))</f>
        <v/>
      </c>
      <c r="D56" s="202"/>
      <c r="E56" s="100" t="str">
        <f>IF(B56="","",IF(B56="Design",0,IF(B56="Construction",0,IF(AND(B56="Production",E55=0)=TRUE,'General Input'!$D$28*'General Input'!$D$27,MIN(('General Input'!$D$27-'General Input'!$D$27*'General Input'!$D$28)/'General Input'!$D$29+'Input Summary'!E55,'General Input'!$D$27)))))</f>
        <v/>
      </c>
      <c r="F56" s="101" t="str">
        <f t="shared" si="1"/>
        <v/>
      </c>
      <c r="H56" s="102" t="str">
        <f>IF(A56="","",IF(A56&lt;(SUM('General Input'!$D$11,'General Input'!$D$8,'General Input'!$D$7)),"",VLOOKUP(A56,'Selling Price'!$A$8:$D$53,4,FALSE)))</f>
        <v/>
      </c>
      <c r="J56" s="87" t="str">
        <f>IF(A56="","",IF(A56&gt;(SUM('General Input'!$D$7:$D$8,'General Input'!$D$11)-1),VLOOKUP((A56-SUM('General Input'!$D$7:$D$8,'General Input'!$D$11)+1),'General Input'!$I$26:$N$58,HLOOKUP('General Input'!$D$33,'General Input'!$J$24:$N$25,2,FALSE),FALSE),""))</f>
        <v/>
      </c>
    </row>
    <row r="57" spans="1:10">
      <c r="A57" s="86" t="s">
        <v>41</v>
      </c>
      <c r="B57" s="86"/>
      <c r="C57" s="86"/>
      <c r="D57" s="86"/>
      <c r="E57" s="86"/>
      <c r="F57" s="86"/>
      <c r="G57" s="86"/>
      <c r="H57" s="86"/>
      <c r="I57" s="86"/>
    </row>
    <row r="59" spans="1:10">
      <c r="A59" s="99" t="str">
        <f ca="1">IF('Equipment Costs'!$E$101&gt;0,"","Equipment Description")</f>
        <v>Equipment Description</v>
      </c>
      <c r="B59" s="99"/>
      <c r="C59" s="99"/>
      <c r="D59" s="99"/>
      <c r="E59" s="99"/>
      <c r="F59" s="99" t="str">
        <f ca="1">IF('Equipment Costs'!$E$101&gt;0,"Total","")</f>
        <v/>
      </c>
      <c r="G59" s="99" t="str">
        <f ca="1">IF('Equipment Costs'!$E$101&gt;0,"","Bare Module Cost")</f>
        <v>Bare Module Cost</v>
      </c>
      <c r="I59" s="99"/>
    </row>
    <row r="60" spans="1:10">
      <c r="A60" s="89"/>
    </row>
    <row r="61" spans="1:10">
      <c r="A61" s="87" t="str">
        <f ca="1">IF('Equipment Costs'!$E$101&gt;0,"IPE Specifications",IF('Equipment Costs'!A7="","",'Equipment Costs'!A7))</f>
        <v>F-1</v>
      </c>
      <c r="B61" s="97"/>
      <c r="C61" s="97"/>
      <c r="D61" s="97" t="str">
        <f ca="1">IF('Equipment Costs'!$E$101&gt;0,"",IF('Equipment Costs'!B7="","",'Equipment Costs'!B7))</f>
        <v>Fabricated Equipment</v>
      </c>
      <c r="E61" s="97"/>
      <c r="F61" s="97"/>
      <c r="G61" s="104">
        <f ca="1">IF('Equipment Costs'!$E$101&gt;0,"",IF('Equipment Costs'!E7&gt;0,'Equipment Costs'!E7,""))</f>
        <v>1076227.9300740738</v>
      </c>
      <c r="I61" s="97"/>
    </row>
    <row r="62" spans="1:10">
      <c r="A62" s="87" t="str">
        <f ca="1">IF('Equipment Costs'!$E$101&gt;0,"",IF('Equipment Costs'!A8="","",'Equipment Costs'!A8))</f>
        <v>F-2</v>
      </c>
      <c r="B62" s="97"/>
      <c r="C62" s="97"/>
      <c r="D62" s="97" t="str">
        <f ca="1">IF('Equipment Costs'!$E$101&gt;0,"",IF('Equipment Costs'!B8="","",'Equipment Costs'!B8))</f>
        <v>Fabricated Equipment</v>
      </c>
      <c r="E62" s="97"/>
      <c r="F62" s="97"/>
      <c r="G62" s="104">
        <f ca="1">IF('Equipment Costs'!$E$101&gt;0,"",IF('Equipment Costs'!E8&gt;0,'Equipment Costs'!E8,""))</f>
        <v>1041912.120888889</v>
      </c>
      <c r="I62" s="97"/>
    </row>
    <row r="63" spans="1:10">
      <c r="A63" s="87" t="str">
        <f ca="1">IF('Equipment Costs'!$E$101&gt;0,'Equipment Costs'!B95,IF('Equipment Costs'!A9="","",'Equipment Costs'!A9))</f>
        <v>F-3</v>
      </c>
      <c r="B63" s="97"/>
      <c r="C63" s="97"/>
      <c r="D63" s="97" t="str">
        <f ca="1">IF('Equipment Costs'!$E$101&gt;0,"",IF('Equipment Costs'!B9="","",'Equipment Costs'!B9))</f>
        <v>Fabricated Equipment</v>
      </c>
      <c r="E63" s="97"/>
      <c r="F63" s="105" t="str">
        <f ca="1">IF('Equipment Costs'!$E$101&gt;0,'Equipment Costs'!E95,"")</f>
        <v/>
      </c>
      <c r="G63" s="104">
        <f ca="1">IF('Equipment Costs'!$E$101&gt;0,"",IF('Equipment Costs'!E9&gt;0,'Equipment Costs'!E9,""))</f>
        <v>1045045.0631111111</v>
      </c>
      <c r="I63" s="97"/>
    </row>
    <row r="64" spans="1:10">
      <c r="A64" s="87" t="str">
        <f ca="1">IF('Equipment Costs'!$E$101&gt;0,'Equipment Costs'!B96,IF('Equipment Costs'!A10="","",'Equipment Costs'!A10))</f>
        <v>F-4</v>
      </c>
      <c r="B64" s="97"/>
      <c r="C64" s="97"/>
      <c r="D64" s="97" t="str">
        <f ca="1">IF('Equipment Costs'!$E$101&gt;0,"",IF('Equipment Costs'!B10="","",'Equipment Costs'!B10))</f>
        <v>Fabricated Equipment</v>
      </c>
      <c r="E64" s="97"/>
      <c r="F64" s="105" t="str">
        <f ca="1">IF('Equipment Costs'!$E$101&gt;0,'Equipment Costs'!E96,"")</f>
        <v/>
      </c>
      <c r="G64" s="104">
        <f ca="1">IF('Equipment Costs'!$E$101&gt;0,"",IF('Equipment Costs'!E10&gt;0,'Equipment Costs'!E10,""))</f>
        <v>1038203.0032592593</v>
      </c>
      <c r="I64" s="97"/>
    </row>
    <row r="65" spans="1:9">
      <c r="A65" s="87" t="str">
        <f ca="1">IF('Equipment Costs'!$E$101&gt;0,'Equipment Costs'!B97,IF('Equipment Costs'!A11="","",'Equipment Costs'!A11))</f>
        <v>HX-1</v>
      </c>
      <c r="B65" s="97"/>
      <c r="C65" s="97"/>
      <c r="D65" s="97" t="str">
        <f ca="1">IF('Equipment Costs'!$E$101&gt;0,"",IF('Equipment Costs'!B11="","",'Equipment Costs'!B11))</f>
        <v>Fabricated Equipment</v>
      </c>
      <c r="E65" s="97"/>
      <c r="F65" s="105" t="str">
        <f ca="1">IF('Equipment Costs'!$E$101&gt;0,'Equipment Costs'!E97,"")</f>
        <v/>
      </c>
      <c r="G65" s="104">
        <f ca="1">IF('Equipment Costs'!$E$101&gt;0,"",IF('Equipment Costs'!E11&gt;0,'Equipment Costs'!E11,""))</f>
        <v>807281.71</v>
      </c>
      <c r="I65" s="97"/>
    </row>
    <row r="66" spans="1:9">
      <c r="A66" s="87" t="str">
        <f ca="1">IF('Equipment Costs'!$E$101&gt;0,'Equipment Costs'!B98,IF('Equipment Costs'!A12="","",'Equipment Costs'!A12))</f>
        <v>HX-2</v>
      </c>
      <c r="B66" s="97"/>
      <c r="C66" s="97"/>
      <c r="D66" s="97" t="str">
        <f ca="1">IF('Equipment Costs'!$E$101&gt;0,"",IF('Equipment Costs'!B12="","",'Equipment Costs'!B12))</f>
        <v>Fabricated Equipment</v>
      </c>
      <c r="E66" s="97"/>
      <c r="F66" s="105" t="str">
        <f ca="1">IF('Equipment Costs'!$E$101&gt;0,'Equipment Costs'!E98,"")</f>
        <v/>
      </c>
      <c r="G66" s="104">
        <f ca="1">IF('Equipment Costs'!$E$101&gt;0,"",IF('Equipment Costs'!E12&gt;0,'Equipment Costs'!E12,""))</f>
        <v>392601.33</v>
      </c>
      <c r="I66" s="97"/>
    </row>
    <row r="67" spans="1:9">
      <c r="A67" s="87" t="str">
        <f ca="1">IF('Equipment Costs'!$E$101&gt;0,'Equipment Costs'!B99,IF('Equipment Costs'!A13="","",'Equipment Costs'!A13))</f>
        <v>HX-3</v>
      </c>
      <c r="B67" s="97"/>
      <c r="C67" s="97"/>
      <c r="D67" s="97" t="str">
        <f ca="1">IF('Equipment Costs'!$E$101&gt;0,"",IF('Equipment Costs'!B13="","",'Equipment Costs'!B13))</f>
        <v>Fabricated Equipment</v>
      </c>
      <c r="E67" s="97"/>
      <c r="F67" s="105" t="str">
        <f ca="1">IF('Equipment Costs'!$E$101&gt;0,'Equipment Costs'!E99,"")</f>
        <v/>
      </c>
      <c r="G67" s="104">
        <f ca="1">IF('Equipment Costs'!$E$101&gt;0,"",IF('Equipment Costs'!E13&gt;0,'Equipment Costs'!E13,""))</f>
        <v>960332.48</v>
      </c>
      <c r="I67" s="97"/>
    </row>
    <row r="68" spans="1:9">
      <c r="A68" s="87" t="str">
        <f ca="1">IF('Equipment Costs'!$E$101&gt;0,"",IF('Equipment Costs'!A14="","",'Equipment Costs'!A14))</f>
        <v>HX-4</v>
      </c>
      <c r="B68" s="97"/>
      <c r="C68" s="97"/>
      <c r="D68" s="97" t="str">
        <f ca="1">IF('Equipment Costs'!$E$101&gt;0,"",IF('Equipment Costs'!B14="","",'Equipment Costs'!B14))</f>
        <v>Fabricated Equipment</v>
      </c>
      <c r="E68" s="97"/>
      <c r="F68" s="105"/>
      <c r="G68" s="104">
        <f ca="1">IF('Equipment Costs'!$E$101&gt;0,"",IF('Equipment Costs'!E14&gt;0,'Equipment Costs'!E14,""))</f>
        <v>1328692.82</v>
      </c>
      <c r="I68" s="97"/>
    </row>
    <row r="69" spans="1:9">
      <c r="A69" s="87" t="str">
        <f ca="1">IF('Equipment Costs'!$E$101&gt;0,'Equipment Costs'!B101,IF('Equipment Costs'!A15="","",'Equipment Costs'!A15))</f>
        <v>P-2</v>
      </c>
      <c r="B69" s="97"/>
      <c r="C69" s="97"/>
      <c r="D69" s="97" t="str">
        <f ca="1">IF('Equipment Costs'!$E$101&gt;0,"",IF('Equipment Costs'!B15="","",'Equipment Costs'!B15))</f>
        <v>Process Machinery</v>
      </c>
      <c r="E69" s="97"/>
      <c r="F69" s="105" t="str">
        <f ca="1">IF('Equipment Costs'!$E$101&gt;0,'Equipment Costs'!E101,"")</f>
        <v/>
      </c>
      <c r="G69" s="104">
        <f ca="1">IF('Equipment Costs'!$E$101&gt;0,"",IF('Equipment Costs'!E15&gt;0,'Equipment Costs'!E15,""))</f>
        <v>100832.02962962961</v>
      </c>
      <c r="I69" s="97"/>
    </row>
    <row r="70" spans="1:9">
      <c r="A70" s="87" t="str">
        <f ca="1">IF('Equipment Costs'!$E$101&gt;0,"",IF('Equipment Costs'!A16="","",'Equipment Costs'!A16))</f>
        <v>P-3</v>
      </c>
      <c r="B70" s="97"/>
      <c r="C70" s="97"/>
      <c r="D70" s="97" t="str">
        <f ca="1">IF('Equipment Costs'!$E$101&gt;0,"",IF('Equipment Costs'!B16="","",'Equipment Costs'!B16))</f>
        <v>Process Machinery</v>
      </c>
      <c r="E70" s="97"/>
      <c r="F70" s="97"/>
      <c r="G70" s="104">
        <f ca="1">IF('Equipment Costs'!$E$101&gt;0,"",IF('Equipment Costs'!E16&gt;0,'Equipment Costs'!E16,""))</f>
        <v>99593.185185185182</v>
      </c>
      <c r="I70" s="97"/>
    </row>
    <row r="71" spans="1:9">
      <c r="A71" s="87" t="str">
        <f ca="1">IF('Equipment Costs'!$E$101&gt;0,"",IF('Equipment Costs'!A17="","",'Equipment Costs'!A17))</f>
        <v>P-4</v>
      </c>
      <c r="B71" s="97"/>
      <c r="C71" s="97"/>
      <c r="D71" s="97" t="str">
        <f ca="1">IF('Equipment Costs'!$E$101&gt;0,"",IF('Equipment Costs'!B17="","",'Equipment Costs'!B17))</f>
        <v>Process Machinery</v>
      </c>
      <c r="E71" s="97"/>
      <c r="F71" s="97"/>
      <c r="G71" s="104">
        <f ca="1">IF('Equipment Costs'!$E$101&gt;0,"",IF('Equipment Costs'!E17&gt;0,'Equipment Costs'!E17,""))</f>
        <v>100820.62222222221</v>
      </c>
      <c r="I71" s="97"/>
    </row>
    <row r="72" spans="1:9">
      <c r="A72" s="87" t="str">
        <f ca="1">IF('Equipment Costs'!$E$101&gt;0,"",IF('Equipment Costs'!A18="","",'Equipment Costs'!A18))</f>
        <v>P-5</v>
      </c>
      <c r="B72" s="97"/>
      <c r="C72" s="97"/>
      <c r="D72" s="97" t="str">
        <f ca="1">IF('Equipment Costs'!$E$101&gt;0,"",IF('Equipment Costs'!B18="","",'Equipment Costs'!B18))</f>
        <v>Process Machinery</v>
      </c>
      <c r="E72" s="97"/>
      <c r="F72" s="97"/>
      <c r="G72" s="104">
        <f ca="1">IF('Equipment Costs'!$E$101&gt;0,"",IF('Equipment Costs'!E18&gt;0,'Equipment Costs'!E18,""))</f>
        <v>96609.193650793648</v>
      </c>
      <c r="I72" s="97"/>
    </row>
    <row r="73" spans="1:9">
      <c r="A73" s="87" t="str">
        <f ca="1">IF('Equipment Costs'!$E$101&gt;0,"",IF('Equipment Costs'!A19="","",'Equipment Costs'!A19))</f>
        <v>Centrifuge 1</v>
      </c>
      <c r="B73" s="97"/>
      <c r="C73" s="97"/>
      <c r="D73" s="97" t="str">
        <f ca="1">IF('Equipment Costs'!$E$101&gt;0,"",IF('Equipment Costs'!B19="","",'Equipment Costs'!B19))</f>
        <v>Process Machinery</v>
      </c>
      <c r="E73" s="97"/>
      <c r="F73" s="97"/>
      <c r="G73" s="104">
        <f ca="1">IF('Equipment Costs'!$E$101&gt;0,"",IF('Equipment Costs'!E19&gt;0,'Equipment Costs'!E19,""))</f>
        <v>67022.222222222204</v>
      </c>
      <c r="I73" s="97"/>
    </row>
    <row r="74" spans="1:9">
      <c r="A74" s="87" t="str">
        <f ca="1">IF('Equipment Costs'!$E$101&gt;0,"",IF('Equipment Costs'!A20="","",'Equipment Costs'!A20))</f>
        <v>Centrifuge 2</v>
      </c>
      <c r="B74" s="97"/>
      <c r="C74" s="97"/>
      <c r="D74" s="97" t="str">
        <f ca="1">IF('Equipment Costs'!$E$101&gt;0,"",IF('Equipment Costs'!B20="","",'Equipment Costs'!B20))</f>
        <v>Process Machinery</v>
      </c>
      <c r="E74" s="97"/>
      <c r="F74" s="97"/>
      <c r="G74" s="104">
        <f ca="1">IF('Equipment Costs'!$E$101&gt;0,"",IF('Equipment Costs'!E20&gt;0,'Equipment Costs'!E20,""))</f>
        <v>67022.222222222204</v>
      </c>
      <c r="I74" s="97"/>
    </row>
    <row r="75" spans="1:9">
      <c r="A75" s="87" t="str">
        <f ca="1">IF('Equipment Costs'!$E$101&gt;0,"",IF('Equipment Costs'!A21="","",'Equipment Costs'!A21))</f>
        <v>A-1</v>
      </c>
      <c r="B75" s="97"/>
      <c r="C75" s="97"/>
      <c r="D75" s="97" t="str">
        <f ca="1">IF('Equipment Costs'!$E$101&gt;0,"",IF('Equipment Costs'!B21="","",'Equipment Costs'!B21))</f>
        <v>Fabricated Equipment</v>
      </c>
      <c r="E75" s="97"/>
      <c r="F75" s="97"/>
      <c r="G75" s="104">
        <f ca="1">IF('Equipment Costs'!$E$101&gt;0,"",IF('Equipment Costs'!E21&gt;0,'Equipment Costs'!E21,""))</f>
        <v>1576870.3715555556</v>
      </c>
      <c r="I75" s="97"/>
    </row>
    <row r="76" spans="1:9">
      <c r="A76" s="87" t="str">
        <f ca="1">IF('Equipment Costs'!$E$101&gt;0,"",IF('Equipment Costs'!A22="","",'Equipment Costs'!A22))</f>
        <v>A-2</v>
      </c>
      <c r="B76" s="97"/>
      <c r="C76" s="97"/>
      <c r="D76" s="97" t="str">
        <f ca="1">IF('Equipment Costs'!$E$101&gt;0,"",IF('Equipment Costs'!B22="","",'Equipment Costs'!B22))</f>
        <v>Fabricated Equipment</v>
      </c>
      <c r="E76" s="97"/>
      <c r="F76" s="97"/>
      <c r="G76" s="104">
        <f ca="1">IF('Equipment Costs'!$E$101&gt;0,"",IF('Equipment Costs'!E22&gt;0,'Equipment Costs'!E22,""))</f>
        <v>1576870.3715555556</v>
      </c>
      <c r="I76" s="97"/>
    </row>
    <row r="77" spans="1:9">
      <c r="A77" s="87" t="str">
        <f ca="1">IF('Equipment Costs'!$E$101&gt;0,"",IF('Equipment Costs'!A23="","",'Equipment Costs'!A23))</f>
        <v>A-3</v>
      </c>
      <c r="B77" s="97"/>
      <c r="C77" s="97"/>
      <c r="D77" s="97" t="str">
        <f ca="1">IF('Equipment Costs'!$E$101&gt;0,"",IF('Equipment Costs'!B23="","",'Equipment Costs'!B23))</f>
        <v>Fabricated Equipment</v>
      </c>
      <c r="E77" s="97"/>
      <c r="F77" s="97"/>
      <c r="G77" s="104">
        <f ca="1">IF('Equipment Costs'!$E$101&gt;0,"",IF('Equipment Costs'!E23&gt;0,'Equipment Costs'!E23,""))</f>
        <v>1576870.3715555556</v>
      </c>
      <c r="I77" s="97"/>
    </row>
    <row r="78" spans="1:9">
      <c r="A78" s="87" t="str">
        <f ca="1">IF('Equipment Costs'!$E$101&gt;0,"",IF('Equipment Costs'!A24="","",'Equipment Costs'!A24))</f>
        <v>A-4</v>
      </c>
      <c r="B78" s="97"/>
      <c r="C78" s="97"/>
      <c r="D78" s="97" t="str">
        <f ca="1">IF('Equipment Costs'!$E$101&gt;0,"",IF('Equipment Costs'!B24="","",'Equipment Costs'!B24))</f>
        <v>Fabricated Equipment</v>
      </c>
      <c r="E78" s="97"/>
      <c r="F78" s="97"/>
      <c r="G78" s="104">
        <f ca="1">IF('Equipment Costs'!$E$101&gt;0,"",IF('Equipment Costs'!E24&gt;0,'Equipment Costs'!E24,""))</f>
        <v>1576870.3715555556</v>
      </c>
      <c r="I78" s="97"/>
    </row>
    <row r="79" spans="1:9">
      <c r="A79" s="87" t="str">
        <f ca="1">IF('Equipment Costs'!$E$101&gt;0,"",IF('Equipment Costs'!A25="","",'Equipment Costs'!A25))</f>
        <v>A-5</v>
      </c>
      <c r="B79" s="97"/>
      <c r="C79" s="97"/>
      <c r="D79" s="97" t="str">
        <f ca="1">IF('Equipment Costs'!$E$101&gt;0,"",IF('Equipment Costs'!B25="","",'Equipment Costs'!B25))</f>
        <v>Fabricated Equipment</v>
      </c>
      <c r="E79" s="97"/>
      <c r="F79" s="97"/>
      <c r="G79" s="104">
        <f ca="1">IF('Equipment Costs'!$E$101&gt;0,"",IF('Equipment Costs'!E25&gt;0,'Equipment Costs'!E25,""))</f>
        <v>1576870.3715555556</v>
      </c>
      <c r="I79" s="97"/>
    </row>
    <row r="80" spans="1:9">
      <c r="A80" s="87" t="str">
        <f ca="1">IF('Equipment Costs'!$E$101&gt;0,"",IF('Equipment Costs'!A26="","",'Equipment Costs'!A26))</f>
        <v>A-6</v>
      </c>
      <c r="B80" s="97"/>
      <c r="C80" s="97"/>
      <c r="D80" s="97" t="str">
        <f ca="1">IF('Equipment Costs'!$E$101&gt;0,"",IF('Equipment Costs'!B26="","",'Equipment Costs'!B26))</f>
        <v>Fabricated Equipment</v>
      </c>
      <c r="E80" s="97"/>
      <c r="F80" s="97"/>
      <c r="G80" s="104">
        <f ca="1">IF('Equipment Costs'!$E$101&gt;0,"",IF('Equipment Costs'!E26&gt;0,'Equipment Costs'!E26,""))</f>
        <v>1576870.3715555556</v>
      </c>
      <c r="I80" s="97"/>
    </row>
    <row r="81" spans="1:9">
      <c r="A81" s="87" t="str">
        <f ca="1">IF('Equipment Costs'!$E$101&gt;0,"",IF('Equipment Costs'!A27="","",'Equipment Costs'!A27))</f>
        <v>SM-1</v>
      </c>
      <c r="B81" s="97"/>
      <c r="C81" s="97"/>
      <c r="D81" s="97" t="str">
        <f ca="1">IF('Equipment Costs'!$E$101&gt;0,"",IF('Equipment Costs'!B27="","",'Equipment Costs'!B27))</f>
        <v>Process Machinery</v>
      </c>
      <c r="E81" s="97"/>
      <c r="F81" s="97"/>
      <c r="G81" s="104">
        <f ca="1">IF('Equipment Costs'!$E$101&gt;0,"",IF('Equipment Costs'!E27&gt;0,'Equipment Costs'!E27,""))</f>
        <v>20000</v>
      </c>
      <c r="I81" s="97"/>
    </row>
    <row r="82" spans="1:9">
      <c r="A82" s="87" t="str">
        <f ca="1">IF('Equipment Costs'!$E$101&gt;0,"",IF('Equipment Costs'!A28="","",'Equipment Costs'!A28))</f>
        <v>P-1</v>
      </c>
      <c r="B82" s="97"/>
      <c r="C82" s="97"/>
      <c r="D82" s="97" t="str">
        <f ca="1">IF('Equipment Costs'!$E$101&gt;0,"",IF('Equipment Costs'!B28="","",'Equipment Costs'!B28))</f>
        <v>Process Machinery</v>
      </c>
      <c r="E82" s="97"/>
      <c r="F82" s="97"/>
      <c r="G82" s="104">
        <f ca="1">IF('Equipment Costs'!$E$101&gt;0,"",IF('Equipment Costs'!E28&gt;0,'Equipment Costs'!E28,""))</f>
        <v>47449.553439153438</v>
      </c>
      <c r="I82" s="97"/>
    </row>
    <row r="83" spans="1:9">
      <c r="A83" s="87" t="str">
        <f ca="1">IF('Equipment Costs'!$E$101&gt;0,"",IF('Equipment Costs'!A29="","",'Equipment Costs'!A29))</f>
        <v>ST-3</v>
      </c>
      <c r="B83" s="97"/>
      <c r="C83" s="97"/>
      <c r="D83" s="97" t="str">
        <f ca="1">IF('Equipment Costs'!$E$101&gt;0,"",IF('Equipment Costs'!B29="","",'Equipment Costs'!B29))</f>
        <v>Storage</v>
      </c>
      <c r="E83" s="97"/>
      <c r="F83" s="97"/>
      <c r="G83" s="104">
        <f ca="1">IF('Equipment Costs'!$E$101&gt;0,"",IF('Equipment Costs'!E29&gt;0,'Equipment Costs'!E29,""))</f>
        <v>442664.46560846554</v>
      </c>
      <c r="I83" s="97"/>
    </row>
    <row r="84" spans="1:9">
      <c r="A84" s="87" t="str">
        <f ca="1">IF('Equipment Costs'!$E$101&gt;0,"",IF('Equipment Costs'!A30="","",'Equipment Costs'!A30))</f>
        <v>ST-1</v>
      </c>
      <c r="B84" s="97"/>
      <c r="C84" s="97"/>
      <c r="D84" s="97" t="str">
        <f ca="1">IF('Equipment Costs'!$E$101&gt;0,"",IF('Equipment Costs'!B30="","",'Equipment Costs'!B30))</f>
        <v>Storage</v>
      </c>
      <c r="E84" s="97"/>
      <c r="F84" s="97"/>
      <c r="G84" s="104">
        <f ca="1">IF('Equipment Costs'!$E$101&gt;0,"",IF('Equipment Costs'!E30&gt;0,'Equipment Costs'!E30,""))</f>
        <v>784278.75555555546</v>
      </c>
      <c r="I84" s="97"/>
    </row>
    <row r="85" spans="1:9">
      <c r="A85" s="87" t="str">
        <f ca="1">IF('Equipment Costs'!$E$101&gt;0,"",IF('Equipment Costs'!A31="","",'Equipment Costs'!A31))</f>
        <v>ST-2</v>
      </c>
      <c r="B85" s="97"/>
      <c r="C85" s="97"/>
      <c r="D85" s="97" t="str">
        <f ca="1">IF('Equipment Costs'!$E$101&gt;0,"",IF('Equipment Costs'!B31="","",'Equipment Costs'!B31))</f>
        <v>Storage</v>
      </c>
      <c r="E85" s="97"/>
      <c r="F85" s="97"/>
      <c r="G85" s="104">
        <f ca="1">IF('Equipment Costs'!$E$101&gt;0,"",IF('Equipment Costs'!E31&gt;0,'Equipment Costs'!E31,""))</f>
        <v>3369781.5608888892</v>
      </c>
      <c r="I85" s="97"/>
    </row>
    <row r="86" spans="1:9">
      <c r="A86" s="87" t="str">
        <f ca="1">IF('Equipment Costs'!$E$101&gt;0,"",IF('Equipment Costs'!A32="","",'Equipment Costs'!A32))</f>
        <v>ST-4</v>
      </c>
      <c r="B86" s="97"/>
      <c r="C86" s="97"/>
      <c r="D86" s="97" t="str">
        <f ca="1">IF('Equipment Costs'!$E$101&gt;0,"",IF('Equipment Costs'!B32="","",'Equipment Costs'!B32))</f>
        <v>Storage</v>
      </c>
      <c r="E86" s="97"/>
      <c r="F86" s="97"/>
      <c r="G86" s="104">
        <f ca="1">IF('Equipment Costs'!$E$101&gt;0,"",IF('Equipment Costs'!E32&gt;0,'Equipment Costs'!E32,""))</f>
        <v>1001467.6114285714</v>
      </c>
      <c r="I86" s="97"/>
    </row>
    <row r="87" spans="1:9">
      <c r="A87" s="87" t="str">
        <f ca="1">IF('Equipment Costs'!$E$101&gt;0,"",IF('Equipment Costs'!A33="","",'Equipment Costs'!A33))</f>
        <v>P-6</v>
      </c>
      <c r="B87" s="97"/>
      <c r="C87" s="97"/>
      <c r="D87" s="97" t="str">
        <f ca="1">IF('Equipment Costs'!$E$101&gt;0,"",IF('Equipment Costs'!B33="","",'Equipment Costs'!B33))</f>
        <v>Process Machinery</v>
      </c>
      <c r="E87" s="97"/>
      <c r="F87" s="97"/>
      <c r="G87" s="104">
        <f ca="1">IF('Equipment Costs'!$E$101&gt;0,"",IF('Equipment Costs'!E33&gt;0,'Equipment Costs'!E33,""))</f>
        <v>40440.982010582011</v>
      </c>
      <c r="I87" s="97"/>
    </row>
    <row r="88" spans="1:9">
      <c r="A88" s="87" t="str">
        <f ca="1">IF('Equipment Costs'!$E$101&gt;0,"",IF('Equipment Costs'!A34="","",'Equipment Costs'!A34))</f>
        <v>P-7</v>
      </c>
      <c r="B88" s="97"/>
      <c r="C88" s="97"/>
      <c r="D88" s="97" t="str">
        <f ca="1">IF('Equipment Costs'!$E$101&gt;0,"",IF('Equipment Costs'!B34="","",'Equipment Costs'!B34))</f>
        <v>Process Machinery</v>
      </c>
      <c r="E88" s="97"/>
      <c r="F88" s="97"/>
      <c r="G88" s="104">
        <f ca="1">IF('Equipment Costs'!$E$101&gt;0,"",IF('Equipment Costs'!E34&gt;0,'Equipment Costs'!E34,""))</f>
        <v>40895.089947089946</v>
      </c>
      <c r="I88" s="97"/>
    </row>
    <row r="89" spans="1:9">
      <c r="A89" s="87" t="str">
        <f ca="1">IF('Equipment Costs'!$E$101&gt;0,"",IF('Equipment Costs'!A35="","",'Equipment Costs'!A35))</f>
        <v>P-8</v>
      </c>
      <c r="B89" s="97"/>
      <c r="C89" s="97"/>
      <c r="D89" s="97" t="str">
        <f ca="1">IF('Equipment Costs'!$E$101&gt;0,"",IF('Equipment Costs'!B35="","",'Equipment Costs'!B35))</f>
        <v>Process Machinery</v>
      </c>
      <c r="E89" s="97"/>
      <c r="F89" s="97"/>
      <c r="G89" s="104">
        <f ca="1">IF('Equipment Costs'!$E$101&gt;0,"",IF('Equipment Costs'!E35&gt;0,'Equipment Costs'!E35,""))</f>
        <v>43526.196825396823</v>
      </c>
      <c r="I89" s="97"/>
    </row>
    <row r="90" spans="1:9">
      <c r="A90" s="87" t="str">
        <f ca="1">IF('Equipment Costs'!$E$101&gt;0,"",IF('Equipment Costs'!A36="","",'Equipment Costs'!A36))</f>
        <v>P-9</v>
      </c>
      <c r="B90" s="97"/>
      <c r="C90" s="97"/>
      <c r="D90" s="97" t="str">
        <f ca="1">IF('Equipment Costs'!$E$101&gt;0,"",IF('Equipment Costs'!B36="","",'Equipment Costs'!B36))</f>
        <v>Process Machinery</v>
      </c>
      <c r="E90" s="97"/>
      <c r="F90" s="97"/>
      <c r="G90" s="104">
        <f ca="1">IF('Equipment Costs'!$E$101&gt;0,"",IF('Equipment Costs'!E36&gt;0,'Equipment Costs'!E36,""))</f>
        <v>40500.114285714284</v>
      </c>
      <c r="I90" s="97"/>
    </row>
    <row r="91" spans="1:9">
      <c r="A91" s="87" t="str">
        <f ca="1">IF('Equipment Costs'!$E$101&gt;0,"",IF('Equipment Costs'!A37="","",'Equipment Costs'!A37))</f>
        <v>AC-1</v>
      </c>
      <c r="B91" s="97"/>
      <c r="C91" s="97"/>
      <c r="D91" s="97" t="str">
        <f ca="1">IF('Equipment Costs'!$E$101&gt;0,"",IF('Equipment Costs'!B37="","",'Equipment Costs'!B37))</f>
        <v>Fabricated Equipment</v>
      </c>
      <c r="E91" s="97"/>
      <c r="F91" s="97"/>
      <c r="G91" s="104">
        <f ca="1">IF('Equipment Costs'!$E$101&gt;0,"",IF('Equipment Costs'!E37&gt;0,'Equipment Costs'!E37,""))</f>
        <v>87511.02</v>
      </c>
      <c r="I91" s="97"/>
    </row>
    <row r="92" spans="1:9">
      <c r="A92" s="87" t="str">
        <f ca="1">IF('Equipment Costs'!$E$101&gt;0,"",IF('Equipment Costs'!A38="","",'Equipment Costs'!A38))</f>
        <v>Conveyor</v>
      </c>
      <c r="B92" s="97"/>
      <c r="C92" s="97"/>
      <c r="D92" s="97" t="str">
        <f ca="1">IF('Equipment Costs'!$E$101&gt;0,"",IF('Equipment Costs'!B38="","",'Equipment Costs'!B38))</f>
        <v>Process Machinery</v>
      </c>
      <c r="E92" s="97"/>
      <c r="F92" s="97"/>
      <c r="G92" s="104">
        <f ca="1">IF('Equipment Costs'!$E$101&gt;0,"",IF('Equipment Costs'!E38&gt;0,'Equipment Costs'!E38,""))</f>
        <v>267140.74069900002</v>
      </c>
      <c r="I92" s="97"/>
    </row>
    <row r="93" spans="1:9">
      <c r="A93" s="87" t="str">
        <f ca="1">IF('Equipment Costs'!$E$101&gt;0,"",IF('Equipment Costs'!A39="","",'Equipment Costs'!A39))</f>
        <v>Agitator</v>
      </c>
      <c r="B93" s="97"/>
      <c r="C93" s="97"/>
      <c r="D93" s="97" t="str">
        <f ca="1">IF('Equipment Costs'!$E$101&gt;0,"",IF('Equipment Costs'!B39="","",'Equipment Costs'!B39))</f>
        <v>Process Machinery</v>
      </c>
      <c r="E93" s="97"/>
      <c r="F93" s="97"/>
      <c r="G93" s="104">
        <f ca="1">IF('Equipment Costs'!$E$101&gt;0,"",IF('Equipment Costs'!E39&gt;0,'Equipment Costs'!E39,""))</f>
        <v>32910.621299999999</v>
      </c>
      <c r="I93" s="97"/>
    </row>
    <row r="94" spans="1:9">
      <c r="A94" s="87" t="str">
        <f ca="1">IF('Equipment Costs'!$E$101&gt;0,"",IF('Equipment Costs'!A40="","",'Equipment Costs'!A40))</f>
        <v>P-10</v>
      </c>
      <c r="B94" s="97"/>
      <c r="C94" s="97"/>
      <c r="D94" s="97" t="str">
        <f ca="1">IF('Equipment Costs'!$E$101&gt;0,"",IF('Equipment Costs'!B40="","",'Equipment Costs'!B40))</f>
        <v>Process Machinery</v>
      </c>
      <c r="E94" s="97"/>
      <c r="F94" s="97"/>
      <c r="G94" s="104">
        <f ca="1">IF('Equipment Costs'!$E$101&gt;0,"",IF('Equipment Costs'!E40&gt;0,'Equipment Costs'!E40,""))</f>
        <v>52105.762202999998</v>
      </c>
      <c r="I94" s="97"/>
    </row>
    <row r="95" spans="1:9">
      <c r="A95" s="87" t="str">
        <f ca="1">IF('Equipment Costs'!$E$101&gt;0,"",IF('Equipment Costs'!A41="","",'Equipment Costs'!A41))</f>
        <v>ST-5</v>
      </c>
      <c r="B95" s="97"/>
      <c r="C95" s="97"/>
      <c r="D95" s="97" t="str">
        <f ca="1">IF('Equipment Costs'!$E$101&gt;0,"",IF('Equipment Costs'!B41="","",'Equipment Costs'!B41))</f>
        <v>Storage</v>
      </c>
      <c r="E95" s="97"/>
      <c r="F95" s="97"/>
      <c r="G95" s="104">
        <f ca="1">IF('Equipment Costs'!$E$101&gt;0,"",IF('Equipment Costs'!E41&gt;0,'Equipment Costs'!E41,""))</f>
        <v>314749</v>
      </c>
    </row>
    <row r="96" spans="1:9">
      <c r="A96" s="87" t="str">
        <f ca="1">IF('Equipment Costs'!$E$101&gt;0,"",IF('Equipment Costs'!A42="","",'Equipment Costs'!A42))</f>
        <v>P-11</v>
      </c>
      <c r="B96" s="97"/>
      <c r="C96" s="97"/>
      <c r="D96" s="97" t="str">
        <f ca="1">IF('Equipment Costs'!$E$101&gt;0,"",IF('Equipment Costs'!B42="","",'Equipment Costs'!B42))</f>
        <v>Process Machinery</v>
      </c>
      <c r="E96" s="97"/>
      <c r="F96" s="97"/>
      <c r="G96" s="104">
        <f ca="1">IF('Equipment Costs'!$E$101&gt;0,"",IF('Equipment Costs'!E42&gt;0,'Equipment Costs'!E42,""))</f>
        <v>40407.411</v>
      </c>
    </row>
    <row r="97" spans="1:9">
      <c r="A97" s="87" t="str">
        <f ca="1">IF('Equipment Costs'!$E$101&gt;0,"",IF('Equipment Costs'!A43="","",'Equipment Costs'!A43))</f>
        <v/>
      </c>
      <c r="B97" s="97"/>
      <c r="C97" s="97"/>
      <c r="D97" s="97" t="str">
        <f ca="1">IF('Equipment Costs'!$E$101&gt;0,"",IF('Equipment Costs'!B43="","",'Equipment Costs'!B43))</f>
        <v/>
      </c>
      <c r="E97" s="97"/>
      <c r="F97" s="97"/>
      <c r="G97" s="104" t="str">
        <f ca="1">IF('Equipment Costs'!$E$101&gt;0,"",IF('Equipment Costs'!E43&gt;0,'Equipment Costs'!E43,""))</f>
        <v/>
      </c>
    </row>
    <row r="98" spans="1:9">
      <c r="A98" s="87" t="str">
        <f ca="1">IF('Equipment Costs'!$E$101&gt;0,"",IF('Equipment Costs'!A44="","",'Equipment Costs'!A44))</f>
        <v/>
      </c>
      <c r="B98" s="97"/>
      <c r="C98" s="97"/>
      <c r="D98" s="97" t="str">
        <f ca="1">IF('Equipment Costs'!$E$101&gt;0,"",IF('Equipment Costs'!B44="","",'Equipment Costs'!B44))</f>
        <v/>
      </c>
      <c r="E98" s="97"/>
      <c r="F98" s="97"/>
      <c r="G98" s="104" t="str">
        <f ca="1">IF('Equipment Costs'!$E$101&gt;0,"",IF('Equipment Costs'!E44&gt;0,'Equipment Costs'!E44,""))</f>
        <v/>
      </c>
    </row>
    <row r="99" spans="1:9">
      <c r="A99" s="97" t="str">
        <f ca="1">IF('Equipment Costs'!$E$101&gt;0,"",'Equipment Costs'!A45)</f>
        <v/>
      </c>
      <c r="G99" s="104" t="str">
        <f ca="1">IF('Equipment Costs'!$E$101&gt;0,"",IF('Equipment Costs'!E45&gt;0,'Equipment Costs'!E45,""))</f>
        <v/>
      </c>
    </row>
    <row r="100" spans="1:9">
      <c r="G100" s="104"/>
    </row>
    <row r="101" spans="1:9">
      <c r="A101" s="99" t="str">
        <f ca="1">IF('Equipment Costs'!$E$101&gt;0,"","Total")</f>
        <v>Total</v>
      </c>
      <c r="G101" s="106">
        <f ca="1">IF('Equipment Costs'!$E$101&gt;0,"",SUM(G61:G99))</f>
        <v>24309247.046990361</v>
      </c>
    </row>
    <row r="103" spans="1:9">
      <c r="A103" s="86" t="s">
        <v>178</v>
      </c>
      <c r="B103" s="86"/>
      <c r="C103" s="86"/>
      <c r="D103" s="86"/>
      <c r="E103" s="86"/>
      <c r="F103" s="86"/>
      <c r="G103" s="86"/>
      <c r="H103" s="86"/>
      <c r="I103" s="86"/>
    </row>
    <row r="104" spans="1:9">
      <c r="B104" s="99" t="str">
        <f>'General Input'!B60</f>
        <v>Raw Material:</v>
      </c>
      <c r="C104" s="99" t="str">
        <f>'General Input'!C60</f>
        <v>Unit:</v>
      </c>
      <c r="D104" s="99" t="str">
        <f>'General Input'!D60</f>
        <v>Required Ratio:</v>
      </c>
      <c r="E104" s="99"/>
      <c r="F104" s="99"/>
      <c r="G104" s="99" t="str">
        <f>'General Input'!F60</f>
        <v>Cost of Raw Material:</v>
      </c>
      <c r="H104" s="99"/>
    </row>
    <row r="105" spans="1:9">
      <c r="A105" s="87">
        <f>IF('General Input'!$B61="","",'General Input'!A61)</f>
        <v>1</v>
      </c>
      <c r="B105" s="87" t="str">
        <f>IF('General Input'!$B61="","",'General Input'!B61)</f>
        <v>H2SO4</v>
      </c>
      <c r="C105" s="87" t="str">
        <f>IF('General Input'!$B61="","",'General Input'!C61)</f>
        <v>kg</v>
      </c>
      <c r="D105" s="87">
        <f>IF('General Input'!$B61="","",'General Input'!D61)</f>
        <v>3533.86</v>
      </c>
      <c r="E105" s="87" t="str">
        <f>IF('General Input'!$B61="","",'General Input'!E61)</f>
        <v>kg per tonnes of Lithium</v>
      </c>
      <c r="G105" s="193">
        <f>IF('General Input'!$B61="","",'General Input'!F61)</f>
        <v>0.17960000000000001</v>
      </c>
      <c r="H105" s="87" t="str">
        <f>IF('General Input'!$B61="","",'General Input'!G61)</f>
        <v>per kg</v>
      </c>
    </row>
    <row r="106" spans="1:9">
      <c r="A106" s="87">
        <f>IF('General Input'!$B62="","",'General Input'!A62)</f>
        <v>2</v>
      </c>
      <c r="B106" s="87" t="str">
        <f>IF('General Input'!$B62="","",'General Input'!B62)</f>
        <v>NH3</v>
      </c>
      <c r="C106" s="87" t="str">
        <f>IF('General Input'!$B62="","",'General Input'!C62)</f>
        <v>kg</v>
      </c>
      <c r="D106" s="87">
        <f>IF('General Input'!$B62="","",'General Input'!D62)</f>
        <v>2449.5700000000002</v>
      </c>
      <c r="E106" s="87" t="str">
        <f>IF('General Input'!$B62="","",'General Input'!E62)</f>
        <v>kg per tonnes of Lithium</v>
      </c>
      <c r="G106" s="193">
        <f>IF('General Input'!$B62="","",'General Input'!F62)</f>
        <v>0.71819999999999995</v>
      </c>
      <c r="H106" s="107" t="str">
        <f>IF('General Input'!$B62="","",'General Input'!G62)</f>
        <v>per kg</v>
      </c>
    </row>
    <row r="107" spans="1:9">
      <c r="A107" s="87">
        <f>IF('General Input'!$B63="","",'General Input'!A63)</f>
        <v>3</v>
      </c>
      <c r="B107" s="87" t="str">
        <f>IF('General Input'!$B63="","",'General Input'!B63)</f>
        <v>APS</v>
      </c>
      <c r="C107" s="87" t="str">
        <f>IF('General Input'!$B63="","",'General Input'!C63)</f>
        <v>kg</v>
      </c>
      <c r="D107" s="87">
        <f>IF('General Input'!$B63="","",'General Input'!D63)</f>
        <v>4373.49</v>
      </c>
      <c r="E107" s="87" t="str">
        <f>IF('General Input'!$B63="","",'General Input'!E63)</f>
        <v>kg per tonnes of Lithium</v>
      </c>
      <c r="G107" s="193">
        <f>IF('General Input'!$B63="","",'General Input'!F63)</f>
        <v>0.84960000000000002</v>
      </c>
      <c r="H107" s="107" t="str">
        <f>IF('General Input'!$B63="","",'General Input'!G63)</f>
        <v>per kg</v>
      </c>
    </row>
    <row r="108" spans="1:9">
      <c r="A108" s="87" t="str">
        <f>IF('General Input'!$B64="","",'General Input'!A64)</f>
        <v/>
      </c>
      <c r="B108" s="87" t="str">
        <f>IF('General Input'!$B64="","",'General Input'!B64)</f>
        <v/>
      </c>
      <c r="C108" s="87" t="str">
        <f>IF('General Input'!$B64="","",'General Input'!C64)</f>
        <v/>
      </c>
      <c r="D108" s="87" t="str">
        <f>IF('General Input'!$B64="","",'General Input'!D64)</f>
        <v/>
      </c>
      <c r="E108" s="87" t="str">
        <f>IF('General Input'!$B64="","",'General Input'!E64)</f>
        <v/>
      </c>
      <c r="G108" s="193" t="str">
        <f>IF('General Input'!$B64="","",'General Input'!F64)</f>
        <v/>
      </c>
      <c r="H108" s="107" t="str">
        <f>IF('General Input'!$B64="","",'General Input'!G64)</f>
        <v/>
      </c>
    </row>
    <row r="109" spans="1:9">
      <c r="A109" s="87" t="str">
        <f>IF('General Input'!$B65="","",'General Input'!A65)</f>
        <v/>
      </c>
      <c r="B109" s="87" t="str">
        <f>IF('General Input'!$B65="","",'General Input'!B65)</f>
        <v/>
      </c>
      <c r="C109" s="87" t="str">
        <f>IF('General Input'!$B65="","",'General Input'!C65)</f>
        <v/>
      </c>
      <c r="D109" s="87" t="str">
        <f>IF('General Input'!$B65="","",'General Input'!D65)</f>
        <v/>
      </c>
      <c r="E109" s="87" t="str">
        <f>IF('General Input'!$B65="","",'General Input'!E65)</f>
        <v/>
      </c>
      <c r="G109" s="193" t="str">
        <f>IF('General Input'!$B65="","",'General Input'!F65)</f>
        <v/>
      </c>
      <c r="H109" s="107" t="str">
        <f>IF('General Input'!$B65="","",'General Input'!G65)</f>
        <v/>
      </c>
    </row>
    <row r="110" spans="1:9">
      <c r="A110" s="87" t="str">
        <f>IF('General Input'!$B66="","",'General Input'!A66)</f>
        <v/>
      </c>
      <c r="B110" s="87" t="str">
        <f>IF('General Input'!$B66="","",'General Input'!B66)</f>
        <v/>
      </c>
      <c r="C110" s="87" t="str">
        <f>IF('General Input'!$B66="","",'General Input'!C66)</f>
        <v/>
      </c>
      <c r="D110" s="87" t="str">
        <f>IF('General Input'!$B66="","",'General Input'!D66)</f>
        <v/>
      </c>
      <c r="E110" s="87" t="str">
        <f>IF('General Input'!$B66="","",'General Input'!E66)</f>
        <v/>
      </c>
      <c r="G110" s="193" t="str">
        <f>IF('General Input'!$B66="","",'General Input'!F66)</f>
        <v/>
      </c>
      <c r="H110" s="107" t="str">
        <f>IF('General Input'!$B66="","",'General Input'!G66)</f>
        <v/>
      </c>
    </row>
    <row r="111" spans="1:9">
      <c r="A111" s="87" t="str">
        <f>IF('General Input'!$B67="","",'General Input'!A67)</f>
        <v/>
      </c>
      <c r="B111" s="87" t="str">
        <f>IF('General Input'!$B67="","",'General Input'!B67)</f>
        <v/>
      </c>
      <c r="C111" s="87" t="str">
        <f>IF('General Input'!$B67="","",'General Input'!C67)</f>
        <v/>
      </c>
      <c r="D111" s="87" t="str">
        <f>IF('General Input'!$B67="","",'General Input'!D67)</f>
        <v/>
      </c>
      <c r="E111" s="87" t="str">
        <f>IF('General Input'!$B67="","",'General Input'!E67)</f>
        <v/>
      </c>
      <c r="G111" s="193" t="str">
        <f>IF('General Input'!$B67="","",'General Input'!F67)</f>
        <v/>
      </c>
      <c r="H111" s="107" t="str">
        <f>IF('General Input'!$B67="","",'General Input'!G67)</f>
        <v/>
      </c>
    </row>
    <row r="112" spans="1:9">
      <c r="A112" s="87" t="str">
        <f>IF('General Input'!$B68="","",'General Input'!A68)</f>
        <v/>
      </c>
      <c r="B112" s="87" t="str">
        <f>IF('General Input'!$B68="","",'General Input'!B68)</f>
        <v/>
      </c>
      <c r="C112" s="87" t="str">
        <f>IF('General Input'!$B68="","",'General Input'!C68)</f>
        <v/>
      </c>
      <c r="D112" s="87" t="str">
        <f>IF('General Input'!$B68="","",'General Input'!D68)</f>
        <v/>
      </c>
      <c r="E112" s="87" t="str">
        <f>IF('General Input'!$B68="","",'General Input'!E68)</f>
        <v/>
      </c>
      <c r="G112" s="193" t="str">
        <f>IF('General Input'!$B68="","",'General Input'!F68)</f>
        <v/>
      </c>
      <c r="H112" s="107" t="str">
        <f>IF('General Input'!$B68="","",'General Input'!G68)</f>
        <v/>
      </c>
    </row>
    <row r="113" spans="1:9">
      <c r="A113" s="87" t="str">
        <f>IF('General Input'!$B69="","",'General Input'!A69)</f>
        <v/>
      </c>
      <c r="B113" s="87" t="str">
        <f>IF('General Input'!$B69="","",'General Input'!B69)</f>
        <v/>
      </c>
      <c r="C113" s="87" t="str">
        <f>IF('General Input'!$B69="","",'General Input'!C69)</f>
        <v/>
      </c>
      <c r="D113" s="87" t="str">
        <f>IF('General Input'!$B69="","",'General Input'!D69)</f>
        <v/>
      </c>
      <c r="E113" s="87" t="str">
        <f>IF('General Input'!$B69="","",'General Input'!E69)</f>
        <v/>
      </c>
      <c r="G113" s="193" t="str">
        <f>IF('General Input'!$B69="","",'General Input'!F69)</f>
        <v/>
      </c>
      <c r="H113" s="107" t="str">
        <f>IF('General Input'!$B69="","",'General Input'!G69)</f>
        <v/>
      </c>
    </row>
    <row r="114" spans="1:9">
      <c r="A114" s="87" t="str">
        <f>IF('General Input'!$B70="","",'General Input'!A70)</f>
        <v/>
      </c>
      <c r="B114" s="103" t="str">
        <f>IF('General Input'!$B70="","",'General Input'!B70)</f>
        <v/>
      </c>
      <c r="C114" s="103" t="str">
        <f>IF('General Input'!$B70="","",'General Input'!C70)</f>
        <v/>
      </c>
      <c r="D114" s="103" t="str">
        <f>IF('General Input'!$B70="","",'General Input'!D70)</f>
        <v/>
      </c>
      <c r="E114" s="103" t="str">
        <f>IF('General Input'!$B70="","",'General Input'!E70)</f>
        <v/>
      </c>
      <c r="F114" s="103"/>
      <c r="G114" s="194" t="str">
        <f>IF('General Input'!$B70="","",'General Input'!F70)</f>
        <v/>
      </c>
      <c r="H114" s="110" t="str">
        <f>IF('General Input'!$B70="","",'General Input'!G70)</f>
        <v/>
      </c>
    </row>
    <row r="115" spans="1:9">
      <c r="B115" s="87" t="str">
        <f>'General Input'!B71</f>
        <v>Total Weighted Average:</v>
      </c>
      <c r="G115" s="193">
        <f ca="1">'General Input'!F71</f>
        <v>6109.6795339999999</v>
      </c>
      <c r="H115" s="87" t="str">
        <f>'General Input'!G71</f>
        <v>per tonnes of Lithium</v>
      </c>
    </row>
    <row r="117" spans="1:9">
      <c r="A117" s="86" t="s">
        <v>317</v>
      </c>
      <c r="B117" s="86"/>
      <c r="C117" s="86"/>
      <c r="D117" s="86"/>
      <c r="E117" s="86"/>
      <c r="F117" s="86"/>
      <c r="G117" s="86"/>
      <c r="H117" s="86"/>
      <c r="I117" s="86"/>
    </row>
    <row r="118" spans="1:9">
      <c r="B118" s="99" t="str">
        <f>IF('General Input'!$B75="","",'General Input'!B75)</f>
        <v>Coproduct:</v>
      </c>
      <c r="C118" s="99" t="str">
        <f>IF('General Input'!$B75="","",'General Input'!C75)</f>
        <v>Unit:</v>
      </c>
      <c r="D118" s="99" t="str">
        <f>IF('General Input'!$B75="","",'General Input'!D75)</f>
        <v>Ratio to Product</v>
      </c>
      <c r="E118" s="99"/>
      <c r="F118" s="99"/>
      <c r="G118" s="99" t="str">
        <f>IF('General Input'!$B75="","",'General Input'!F75)</f>
        <v>Coproduct Selling Price (positive value for salable product, negative value for "waste")</v>
      </c>
      <c r="H118" s="99"/>
    </row>
    <row r="119" spans="1:9">
      <c r="A119" s="87">
        <f>IF('General Input'!$B76="","",'General Input'!A76)</f>
        <v>1</v>
      </c>
      <c r="B119" s="87" t="str">
        <f>IF('General Input'!$B76="","",'General Input'!B76)</f>
        <v>Coproduct:1</v>
      </c>
      <c r="C119" s="87" t="str">
        <f>IF('General Input'!$B76="","",'General Input'!C76)</f>
        <v>lb</v>
      </c>
      <c r="D119" s="87">
        <f>IF('General Input'!$B76="","",'General Input'!D76)</f>
        <v>0</v>
      </c>
      <c r="E119" s="87" t="str">
        <f>IF('General Input'!$B76="","",'General Input'!E76)</f>
        <v>lb per tonnes of Lithium</v>
      </c>
      <c r="G119" s="193">
        <f>IF('General Input'!$B76="","",'General Input'!F76)</f>
        <v>1</v>
      </c>
      <c r="H119" s="87" t="str">
        <f>IF('General Input'!$B76="","",'General Input'!G76)</f>
        <v>per lb</v>
      </c>
    </row>
    <row r="120" spans="1:9">
      <c r="A120" s="87">
        <f>IF('General Input'!$B77="","",'General Input'!A77)</f>
        <v>2</v>
      </c>
      <c r="B120" s="87" t="str">
        <f>IF('General Input'!$B77="","",'General Input'!B77)</f>
        <v>Waste1</v>
      </c>
      <c r="C120" s="87" t="str">
        <f>IF('General Input'!$B77="","",'General Input'!C77)</f>
        <v>lb</v>
      </c>
      <c r="D120" s="87">
        <f>IF('General Input'!$B77="","",'General Input'!D77)</f>
        <v>0</v>
      </c>
      <c r="E120" s="87" t="str">
        <f>IF('General Input'!$B77="","",'General Input'!E77)</f>
        <v>lb per tonnes of Lithium</v>
      </c>
      <c r="F120" s="108"/>
      <c r="G120" s="193">
        <f>IF('General Input'!$B77="","",'General Input'!F77)</f>
        <v>-2</v>
      </c>
      <c r="H120" s="87" t="str">
        <f>IF('General Input'!$B77="","",'General Input'!G77)</f>
        <v>per lb</v>
      </c>
    </row>
    <row r="121" spans="1:9">
      <c r="A121" s="87" t="str">
        <f>IF('General Input'!$B78="","",'General Input'!A78)</f>
        <v/>
      </c>
      <c r="C121" s="87" t="str">
        <f>IF('General Input'!$B78="","",'General Input'!C78)</f>
        <v/>
      </c>
      <c r="D121" s="87" t="str">
        <f>IF('General Input'!$B78="","",'General Input'!D78)</f>
        <v/>
      </c>
      <c r="E121" s="87" t="str">
        <f>IF('General Input'!$B78="","",'General Input'!E78)</f>
        <v/>
      </c>
      <c r="F121" s="108"/>
      <c r="G121" s="193" t="str">
        <f>IF('General Input'!$B78="","",'General Input'!F78)</f>
        <v/>
      </c>
      <c r="H121" s="87" t="str">
        <f>IF('General Input'!$B78="","",'General Input'!G78)</f>
        <v/>
      </c>
    </row>
    <row r="122" spans="1:9">
      <c r="A122" s="87" t="str">
        <f>IF('General Input'!$B79="","",'General Input'!A79)</f>
        <v/>
      </c>
      <c r="B122" s="87" t="str">
        <f>IF('General Input'!$B79="","",'General Input'!B79)</f>
        <v/>
      </c>
      <c r="C122" s="87" t="str">
        <f>IF('General Input'!$B79="","",'General Input'!C79)</f>
        <v/>
      </c>
      <c r="D122" s="87" t="str">
        <f>IF('General Input'!$B79="","",'General Input'!D79)</f>
        <v/>
      </c>
      <c r="E122" s="87" t="str">
        <f>IF('General Input'!$B79="","",'General Input'!E79)</f>
        <v/>
      </c>
      <c r="F122" s="108"/>
      <c r="G122" s="193" t="str">
        <f>IF('General Input'!$B79="","",'General Input'!F79)</f>
        <v/>
      </c>
      <c r="H122" s="87" t="str">
        <f>IF('General Input'!$B79="","",'General Input'!G79)</f>
        <v/>
      </c>
    </row>
    <row r="123" spans="1:9">
      <c r="A123" s="87" t="str">
        <f>IF('General Input'!$B80="","",'General Input'!A80)</f>
        <v/>
      </c>
      <c r="B123" s="87" t="str">
        <f>IF('General Input'!$B80="","",'General Input'!B80)</f>
        <v/>
      </c>
      <c r="C123" s="87" t="str">
        <f>IF('General Input'!$B80="","",'General Input'!C80)</f>
        <v/>
      </c>
      <c r="D123" s="87" t="str">
        <f>IF('General Input'!$B80="","",'General Input'!D80)</f>
        <v/>
      </c>
      <c r="E123" s="87" t="str">
        <f>IF('General Input'!$B80="","",'General Input'!E80)</f>
        <v/>
      </c>
      <c r="F123" s="108"/>
      <c r="G123" s="193" t="str">
        <f>IF('General Input'!$B80="","",'General Input'!F80)</f>
        <v/>
      </c>
      <c r="H123" s="87" t="str">
        <f>IF('General Input'!$B80="","",'General Input'!G80)</f>
        <v/>
      </c>
    </row>
    <row r="124" spans="1:9">
      <c r="A124" s="87" t="str">
        <f>IF('General Input'!$B81="","",'General Input'!A81)</f>
        <v/>
      </c>
      <c r="B124" s="87" t="str">
        <f>IF('General Input'!$B81="","",'General Input'!B81)</f>
        <v/>
      </c>
      <c r="C124" s="87" t="str">
        <f>IF('General Input'!$B81="","",'General Input'!C81)</f>
        <v/>
      </c>
      <c r="D124" s="87" t="str">
        <f>IF('General Input'!$B81="","",'General Input'!D81)</f>
        <v/>
      </c>
      <c r="E124" s="87" t="str">
        <f>IF('General Input'!$B81="","",'General Input'!E81)</f>
        <v/>
      </c>
      <c r="F124" s="108"/>
      <c r="G124" s="193" t="str">
        <f>IF('General Input'!$B81="","",'General Input'!F81)</f>
        <v/>
      </c>
      <c r="H124" s="87" t="str">
        <f>IF('General Input'!$B81="","",'General Input'!G81)</f>
        <v/>
      </c>
    </row>
    <row r="125" spans="1:9">
      <c r="A125" s="87" t="str">
        <f>IF('General Input'!$B82="","",'General Input'!A82)</f>
        <v/>
      </c>
      <c r="B125" s="87" t="str">
        <f>IF('General Input'!$B82="","",'General Input'!B82)</f>
        <v/>
      </c>
      <c r="C125" s="87" t="str">
        <f>IF('General Input'!$B82="","",'General Input'!C82)</f>
        <v/>
      </c>
      <c r="D125" s="87" t="str">
        <f>IF('General Input'!$B82="","",'General Input'!D82)</f>
        <v/>
      </c>
      <c r="E125" s="87" t="str">
        <f>IF('General Input'!$B82="","",'General Input'!E82)</f>
        <v/>
      </c>
      <c r="F125" s="108"/>
      <c r="G125" s="193" t="str">
        <f>IF('General Input'!$B82="","",'General Input'!F82)</f>
        <v/>
      </c>
      <c r="H125" s="87" t="str">
        <f>IF('General Input'!$B82="","",'General Input'!G82)</f>
        <v/>
      </c>
    </row>
    <row r="126" spans="1:9">
      <c r="A126" s="87" t="str">
        <f>IF('General Input'!$B83="","",'General Input'!A83)</f>
        <v/>
      </c>
      <c r="B126" s="87" t="str">
        <f>IF('General Input'!$B83="","",'General Input'!B83)</f>
        <v/>
      </c>
      <c r="C126" s="87" t="str">
        <f>IF('General Input'!$B83="","",'General Input'!C83)</f>
        <v/>
      </c>
      <c r="D126" s="87" t="str">
        <f>IF('General Input'!$B83="","",'General Input'!D83)</f>
        <v/>
      </c>
      <c r="E126" s="87" t="str">
        <f>IF('General Input'!$B83="","",'General Input'!E83)</f>
        <v/>
      </c>
      <c r="F126" s="108"/>
      <c r="G126" s="193" t="str">
        <f>IF('General Input'!$B83="","",'General Input'!F83)</f>
        <v/>
      </c>
      <c r="H126" s="87" t="str">
        <f>IF('General Input'!$B83="","",'General Input'!G83)</f>
        <v/>
      </c>
    </row>
    <row r="127" spans="1:9">
      <c r="A127" s="87" t="str">
        <f>IF('General Input'!$B84="","",'General Input'!A84)</f>
        <v/>
      </c>
      <c r="B127" s="87" t="str">
        <f>IF('General Input'!$B84="","",'General Input'!B84)</f>
        <v/>
      </c>
      <c r="C127" s="87" t="str">
        <f>IF('General Input'!$B84="","",'General Input'!C84)</f>
        <v/>
      </c>
      <c r="D127" s="87" t="str">
        <f>IF('General Input'!$B84="","",'General Input'!D84)</f>
        <v/>
      </c>
      <c r="E127" s="87" t="str">
        <f>IF('General Input'!$B84="","",'General Input'!E84)</f>
        <v/>
      </c>
      <c r="F127" s="108"/>
      <c r="G127" s="193" t="str">
        <f>IF('General Input'!$B84="","",'General Input'!F84)</f>
        <v/>
      </c>
      <c r="H127" s="87" t="str">
        <f>IF('General Input'!$B84="","",'General Input'!G84)</f>
        <v/>
      </c>
    </row>
    <row r="128" spans="1:9">
      <c r="A128" s="87" t="str">
        <f>IF('General Input'!$B85="","",'General Input'!A85)</f>
        <v/>
      </c>
      <c r="B128" s="103" t="str">
        <f>IF('General Input'!$B85="","",'General Input'!B85)</f>
        <v/>
      </c>
      <c r="C128" s="103" t="str">
        <f>IF('General Input'!$B85="","",'General Input'!C85)</f>
        <v/>
      </c>
      <c r="D128" s="103" t="str">
        <f>IF('General Input'!$B85="","",'General Input'!D85)</f>
        <v/>
      </c>
      <c r="E128" s="103" t="str">
        <f>IF('General Input'!$B85="","",'General Input'!E85)</f>
        <v/>
      </c>
      <c r="F128" s="109"/>
      <c r="G128" s="194" t="str">
        <f>IF('General Input'!$B85="","",'General Input'!F85)</f>
        <v/>
      </c>
      <c r="H128" s="103" t="str">
        <f>IF('General Input'!$B85="","",'General Input'!G85)</f>
        <v/>
      </c>
    </row>
    <row r="129" spans="1:9">
      <c r="B129" s="87" t="str">
        <f>IF('General Input'!$B86="","",'General Input'!B86)</f>
        <v>Total Weighted Average:</v>
      </c>
      <c r="G129" s="193">
        <f ca="1">IF('General Input'!$B86="","",'General Input'!F86)</f>
        <v>0</v>
      </c>
      <c r="H129" s="87" t="str">
        <f>IF('General Input'!$B86="","",'General Input'!G86)</f>
        <v>per tonnes of Lithium</v>
      </c>
    </row>
    <row r="130" spans="1:9">
      <c r="G130" s="108"/>
    </row>
    <row r="131" spans="1:9">
      <c r="A131" s="86" t="s">
        <v>189</v>
      </c>
      <c r="B131" s="86"/>
      <c r="C131" s="86"/>
      <c r="D131" s="86"/>
      <c r="E131" s="86"/>
      <c r="F131" s="86"/>
      <c r="G131" s="86"/>
      <c r="H131" s="86"/>
      <c r="I131" s="86"/>
    </row>
    <row r="132" spans="1:9">
      <c r="B132" s="99" t="str">
        <f>IF('General Input'!$B90="","",'General Input'!B90)</f>
        <v>Utility:</v>
      </c>
      <c r="C132" s="99" t="str">
        <f>IF('General Input'!$B90="","",'General Input'!C90)</f>
        <v>Unit:</v>
      </c>
      <c r="D132" s="99" t="str">
        <f>IF('General Input'!$B90="","",'General Input'!D90)</f>
        <v>Required Ratio</v>
      </c>
      <c r="E132" s="99"/>
      <c r="F132" s="99"/>
      <c r="G132" s="99" t="str">
        <f>IF('General Input'!$B90="","",'General Input'!F90)</f>
        <v>Utility Cost</v>
      </c>
      <c r="H132" s="99"/>
    </row>
    <row r="133" spans="1:9">
      <c r="A133" s="87">
        <f>IF('General Input'!$B91="","",'General Input'!A91)</f>
        <v>1</v>
      </c>
      <c r="B133" s="87" t="str">
        <f>IF('General Input'!$B91="","",'General Input'!B91)</f>
        <v>High Pressure Steam</v>
      </c>
      <c r="C133" s="87" t="str">
        <f>IF('General Input'!$B91="","",'General Input'!C91)</f>
        <v>lb</v>
      </c>
      <c r="D133" s="87">
        <f>IF('General Input'!$B91="","",'General Input'!D91)</f>
        <v>0</v>
      </c>
      <c r="E133" s="87" t="str">
        <f>IF('General Input'!$B91="","",'General Input'!E91)</f>
        <v>lb per tonnes of Lithium</v>
      </c>
      <c r="G133" s="193">
        <f>IF('General Input'!$B91="","",'General Input'!F91)</f>
        <v>0</v>
      </c>
      <c r="H133" s="108" t="str">
        <f>IF('General Input'!$B91="","",'General Input'!G91)</f>
        <v>per lb</v>
      </c>
    </row>
    <row r="134" spans="1:9">
      <c r="A134" s="87">
        <f>IF('General Input'!$B92="","",'General Input'!A92)</f>
        <v>2</v>
      </c>
      <c r="B134" s="87" t="str">
        <f>IF('General Input'!$B92="","",'General Input'!B92)</f>
        <v>Low Pressure Steam</v>
      </c>
      <c r="C134" s="87" t="str">
        <f>IF('General Input'!$B92="","",'General Input'!C92)</f>
        <v>kg</v>
      </c>
      <c r="D134" s="87">
        <f>IF('General Input'!$B92="","",'General Input'!D92)</f>
        <v>35047</v>
      </c>
      <c r="E134" s="87" t="str">
        <f>IF('General Input'!$B92="","",'General Input'!E92)</f>
        <v>kg per tonnes of Lithium</v>
      </c>
      <c r="G134" s="193">
        <f>IF('General Input'!$B92="","",'General Input'!F92)</f>
        <v>2.1587301587301589E-2</v>
      </c>
      <c r="H134" s="87" t="str">
        <f>IF('General Input'!$B92="","",'General Input'!G92)</f>
        <v>per kg</v>
      </c>
    </row>
    <row r="135" spans="1:9">
      <c r="A135" s="87">
        <f>IF('General Input'!$B93="","",'General Input'!A93)</f>
        <v>3</v>
      </c>
      <c r="B135" s="87" t="str">
        <f>IF('General Input'!$B93="","",'General Input'!B93)</f>
        <v>Process Water</v>
      </c>
      <c r="C135" s="87" t="str">
        <f>IF('General Input'!$B93="","",'General Input'!C93)</f>
        <v>gal</v>
      </c>
      <c r="D135" s="87">
        <f>IF('General Input'!$B93="","",'General Input'!D93)</f>
        <v>0</v>
      </c>
      <c r="E135" s="87" t="str">
        <f>IF('General Input'!$B93="","",'General Input'!E93)</f>
        <v>gal per tonnes of Lithium</v>
      </c>
      <c r="G135" s="193">
        <f>IF('General Input'!$B93="","",'General Input'!F93)</f>
        <v>0</v>
      </c>
      <c r="H135" s="87" t="str">
        <f>IF('General Input'!$B93="","",'General Input'!G93)</f>
        <v>per gal</v>
      </c>
    </row>
    <row r="136" spans="1:9">
      <c r="A136" s="87">
        <f>IF('General Input'!$B94="","",'General Input'!A94)</f>
        <v>4</v>
      </c>
      <c r="B136" s="87" t="str">
        <f>IF('General Input'!$B94="","",'General Input'!B94)</f>
        <v>Cooling Water</v>
      </c>
      <c r="C136" s="87" t="str">
        <f>IF('General Input'!$B94="","",'General Input'!C94)</f>
        <v>lb</v>
      </c>
      <c r="D136" s="87">
        <f>IF('General Input'!$B94="","",'General Input'!D94)</f>
        <v>0</v>
      </c>
      <c r="E136" s="87" t="str">
        <f>IF('General Input'!$B94="","",'General Input'!E94)</f>
        <v>lb per tonnes of Lithium</v>
      </c>
      <c r="G136" s="193">
        <f>IF('General Input'!$B94="","",'General Input'!F94)</f>
        <v>0</v>
      </c>
      <c r="H136" s="87" t="str">
        <f>IF('General Input'!$B94="","",'General Input'!G94)</f>
        <v>per lb</v>
      </c>
    </row>
    <row r="137" spans="1:9">
      <c r="A137" s="87">
        <f>IF('General Input'!$B95="","",'General Input'!A95)</f>
        <v>5</v>
      </c>
      <c r="B137" s="87" t="str">
        <f>IF('General Input'!$B95="","",'General Input'!B95)</f>
        <v>Electricity</v>
      </c>
      <c r="C137" s="87" t="str">
        <f>IF('General Input'!$B95="","",'General Input'!C95)</f>
        <v>kWh</v>
      </c>
      <c r="D137" s="87">
        <f>IF('General Input'!$B95="","",'General Input'!D95)</f>
        <v>262.37</v>
      </c>
      <c r="E137" s="87" t="str">
        <f>IF('General Input'!$B95="","",'General Input'!E95)</f>
        <v>kWh per tonnes of Lithium</v>
      </c>
      <c r="G137" s="193">
        <f>IF('General Input'!$B95="","",'General Input'!F95)</f>
        <v>9.876543209876544E-2</v>
      </c>
      <c r="H137" s="87" t="str">
        <f>IF('General Input'!$B95="","",'General Input'!G95)</f>
        <v>per kWh</v>
      </c>
    </row>
    <row r="138" spans="1:9">
      <c r="A138" s="87">
        <f>IF('General Input'!$B96="","",'General Input'!A96)</f>
        <v>6</v>
      </c>
      <c r="B138" s="87" t="str">
        <f>IF('General Input'!$B96="","",'General Input'!B96)</f>
        <v>Refridgeration</v>
      </c>
      <c r="C138" s="87" t="str">
        <f>IF('General Input'!$B96="","",'General Input'!C96)</f>
        <v>ton-day</v>
      </c>
      <c r="D138" s="87">
        <f>IF('General Input'!$B96="","",'General Input'!D96)</f>
        <v>21.06</v>
      </c>
      <c r="E138" s="87" t="str">
        <f>IF('General Input'!$B96="","",'General Input'!E96)</f>
        <v>ton-day per tonnes of Lithium</v>
      </c>
      <c r="G138" s="193">
        <f>IF('General Input'!$B96="","",'General Input'!F96)</f>
        <v>5.6437389770723101</v>
      </c>
      <c r="H138" s="87" t="str">
        <f>IF('General Input'!$B96="","",'General Input'!G96)</f>
        <v>per ton-day</v>
      </c>
    </row>
    <row r="139" spans="1:9">
      <c r="A139" s="87" t="str">
        <f>IF('General Input'!$B97="","",'General Input'!A97)</f>
        <v/>
      </c>
      <c r="B139" s="87" t="str">
        <f>IF('General Input'!$B97="","",'General Input'!B97)</f>
        <v/>
      </c>
      <c r="C139" s="87" t="str">
        <f>IF('General Input'!$B97="","",'General Input'!C97)</f>
        <v/>
      </c>
      <c r="D139" s="87" t="str">
        <f>IF('General Input'!$B97="","",'General Input'!D97)</f>
        <v/>
      </c>
      <c r="E139" s="87" t="str">
        <f>IF('General Input'!$B97="","",'General Input'!E97)</f>
        <v/>
      </c>
      <c r="G139" s="193" t="str">
        <f>IF('General Input'!$B97="","",'General Input'!F97)</f>
        <v/>
      </c>
      <c r="H139" s="107" t="str">
        <f>IF('General Input'!$B97="","",'General Input'!G97)</f>
        <v/>
      </c>
    </row>
    <row r="140" spans="1:9">
      <c r="A140" s="87" t="str">
        <f>IF('General Input'!$B98="","",'General Input'!A98)</f>
        <v/>
      </c>
      <c r="B140" s="87" t="str">
        <f>IF('General Input'!$B98="","",'General Input'!B98)</f>
        <v/>
      </c>
      <c r="C140" s="87" t="str">
        <f>IF('General Input'!$B98="","",'General Input'!C98)</f>
        <v/>
      </c>
      <c r="D140" s="87" t="str">
        <f>IF('General Input'!$B98="","",'General Input'!D98)</f>
        <v/>
      </c>
      <c r="E140" s="87" t="str">
        <f>IF('General Input'!$B98="","",'General Input'!E98)</f>
        <v/>
      </c>
      <c r="G140" s="193" t="str">
        <f>IF('General Input'!$B98="","",'General Input'!F98)</f>
        <v/>
      </c>
      <c r="H140" s="107" t="str">
        <f>IF('General Input'!$B98="","",'General Input'!G98)</f>
        <v/>
      </c>
    </row>
    <row r="141" spans="1:9">
      <c r="A141" s="87" t="str">
        <f>IF('General Input'!$B99="","",'General Input'!A99)</f>
        <v/>
      </c>
      <c r="B141" s="87" t="str">
        <f>IF('General Input'!$B99="","",'General Input'!B99)</f>
        <v/>
      </c>
      <c r="C141" s="87" t="str">
        <f>IF('General Input'!$B99="","",'General Input'!C99)</f>
        <v/>
      </c>
      <c r="D141" s="87" t="str">
        <f>IF('General Input'!$B99="","",'General Input'!D99)</f>
        <v/>
      </c>
      <c r="E141" s="87" t="str">
        <f>IF('General Input'!$B99="","",'General Input'!E99)</f>
        <v/>
      </c>
      <c r="G141" s="193" t="str">
        <f>IF('General Input'!$B99="","",'General Input'!F99)</f>
        <v/>
      </c>
      <c r="H141" s="107" t="str">
        <f>IF('General Input'!$B99="","",'General Input'!G99)</f>
        <v/>
      </c>
    </row>
    <row r="142" spans="1:9">
      <c r="A142" s="87" t="str">
        <f>IF('General Input'!$B100="","",'General Input'!A100)</f>
        <v/>
      </c>
      <c r="B142" s="103" t="str">
        <f>IF('General Input'!$B100="","",'General Input'!B100)</f>
        <v/>
      </c>
      <c r="C142" s="103" t="str">
        <f>IF('General Input'!$B100="","",'General Input'!C100)</f>
        <v/>
      </c>
      <c r="D142" s="103" t="str">
        <f>IF('General Input'!$B100="","",'General Input'!D100)</f>
        <v/>
      </c>
      <c r="E142" s="103" t="str">
        <f>IF('General Input'!$B100="","",'General Input'!E100)</f>
        <v/>
      </c>
      <c r="F142" s="103"/>
      <c r="G142" s="194" t="str">
        <f>IF('General Input'!$B100="","",'General Input'!F100)</f>
        <v/>
      </c>
      <c r="H142" s="110" t="str">
        <f>IF('General Input'!$B100="","",'General Input'!G100)</f>
        <v/>
      </c>
    </row>
    <row r="143" spans="1:9">
      <c r="B143" s="87" t="str">
        <f>IF('General Input'!$B101="","",'General Input'!B101)</f>
        <v>Total Weighted Average:</v>
      </c>
      <c r="G143" s="193">
        <f ca="1">IF('General Input'!$B101="","",'General Input'!F101)</f>
        <v>901.3403880070548</v>
      </c>
      <c r="H143" s="108" t="str">
        <f>IF('General Input'!$B101="","",'General Input'!G101)</f>
        <v>per tonnes of Lithium</v>
      </c>
    </row>
    <row r="144" spans="1:9">
      <c r="G144" s="107"/>
      <c r="H144" s="108"/>
    </row>
    <row r="145" spans="1:9">
      <c r="A145" s="86" t="s">
        <v>297</v>
      </c>
      <c r="B145" s="86"/>
      <c r="C145" s="86"/>
      <c r="D145" s="86"/>
      <c r="E145" s="86"/>
      <c r="F145" s="86"/>
      <c r="G145" s="86"/>
      <c r="H145" s="86"/>
      <c r="I145" s="86"/>
    </row>
    <row r="146" spans="1:9">
      <c r="G146" s="193">
        <f>'General Input'!F104</f>
        <v>0</v>
      </c>
      <c r="H146" s="108" t="str">
        <f>'General Input'!G104</f>
        <v>per tonnes of Lithium</v>
      </c>
    </row>
    <row r="147" spans="1:9">
      <c r="B147" s="87" t="str">
        <f>IF('General Input'!$B87="","",'General Input'!B87)</f>
        <v/>
      </c>
      <c r="C147" s="87" t="str">
        <f>IF('General Input'!$B87="","",'General Input'!C87)</f>
        <v/>
      </c>
      <c r="D147" s="87" t="str">
        <f>IF('General Input'!$B87="","",'General Input'!D87)</f>
        <v/>
      </c>
      <c r="G147" s="108" t="str">
        <f>IF('General Input'!$B87="","",'General Input'!F87)</f>
        <v/>
      </c>
    </row>
    <row r="148" spans="1:9">
      <c r="A148" s="86" t="s">
        <v>43</v>
      </c>
      <c r="B148" s="86"/>
      <c r="C148" s="86"/>
      <c r="D148" s="86"/>
      <c r="E148" s="86"/>
      <c r="F148" s="86"/>
      <c r="G148" s="86"/>
      <c r="H148" s="86"/>
      <c r="I148" s="86"/>
    </row>
    <row r="149" spans="1:9">
      <c r="B149" s="99" t="s">
        <v>124</v>
      </c>
    </row>
    <row r="150" spans="1:9">
      <c r="B150" s="5"/>
      <c r="C150" s="5"/>
      <c r="D150" s="7" t="s">
        <v>115</v>
      </c>
      <c r="E150" s="38">
        <f>'Var Costs &amp; WC'!E4</f>
        <v>0.03</v>
      </c>
      <c r="F150" s="21" t="s">
        <v>44</v>
      </c>
    </row>
    <row r="151" spans="1:9">
      <c r="B151" s="5"/>
      <c r="C151" s="5"/>
      <c r="D151" s="7" t="s">
        <v>116</v>
      </c>
      <c r="E151" s="38">
        <f>'Var Costs &amp; WC'!E5</f>
        <v>0.03</v>
      </c>
      <c r="F151" s="21" t="s">
        <v>44</v>
      </c>
    </row>
    <row r="152" spans="1:9">
      <c r="B152" s="5"/>
      <c r="C152" s="5"/>
      <c r="D152" s="7" t="s">
        <v>117</v>
      </c>
      <c r="E152" s="38">
        <f>'Var Costs &amp; WC'!E6</f>
        <v>5.0000000000000001E-3</v>
      </c>
      <c r="F152" s="21" t="s">
        <v>44</v>
      </c>
    </row>
    <row r="153" spans="1:9">
      <c r="B153" s="5"/>
      <c r="C153" s="5"/>
      <c r="D153" s="7" t="s">
        <v>118</v>
      </c>
      <c r="E153" s="38">
        <f>'Var Costs &amp; WC'!E7</f>
        <v>0.02</v>
      </c>
      <c r="F153" s="21" t="s">
        <v>44</v>
      </c>
    </row>
    <row r="154" spans="1:9">
      <c r="B154" s="5"/>
      <c r="C154" s="5"/>
      <c r="D154" s="7" t="s">
        <v>119</v>
      </c>
      <c r="E154" s="38">
        <f>'Var Costs &amp; WC'!E8</f>
        <v>1.2500000000000001E-2</v>
      </c>
      <c r="F154" s="21" t="s">
        <v>44</v>
      </c>
    </row>
    <row r="155" spans="1:9">
      <c r="B155" s="5"/>
      <c r="C155" s="5"/>
      <c r="D155" s="7"/>
      <c r="E155" s="8"/>
      <c r="F155" s="21"/>
    </row>
    <row r="156" spans="1:9">
      <c r="A156" s="86" t="s">
        <v>120</v>
      </c>
      <c r="B156" s="86"/>
      <c r="C156" s="86"/>
      <c r="D156" s="86"/>
      <c r="E156" s="86"/>
      <c r="F156" s="86"/>
      <c r="G156" s="86"/>
      <c r="H156" s="86"/>
      <c r="I156" s="86"/>
    </row>
    <row r="157" spans="1:9">
      <c r="B157" s="5"/>
      <c r="C157" s="5"/>
      <c r="D157" s="7"/>
      <c r="E157" s="8"/>
      <c r="F157" s="21"/>
    </row>
    <row r="158" spans="1:9">
      <c r="B158" s="5" t="str">
        <f>'Var Costs &amp; WC'!B13</f>
        <v>Accounts Receivable</v>
      </c>
      <c r="C158" s="5"/>
      <c r="D158" s="20" t="s">
        <v>122</v>
      </c>
      <c r="E158" s="8">
        <f>'Var Costs &amp; WC'!H13</f>
        <v>30</v>
      </c>
      <c r="F158" s="8" t="str">
        <f>'Var Costs &amp; WC'!I13</f>
        <v>Days</v>
      </c>
    </row>
    <row r="159" spans="1:9">
      <c r="B159" s="5" t="str">
        <f>'Var Costs &amp; WC'!B14</f>
        <v>Cash Reserves (excluding Raw Materials)</v>
      </c>
      <c r="C159" s="5"/>
      <c r="D159" s="20" t="s">
        <v>122</v>
      </c>
      <c r="E159" s="8">
        <f>'Var Costs &amp; WC'!H14</f>
        <v>30</v>
      </c>
      <c r="F159" s="8" t="str">
        <f>'Var Costs &amp; WC'!I14</f>
        <v>Days</v>
      </c>
    </row>
    <row r="160" spans="1:9">
      <c r="B160" s="5" t="str">
        <f>'Var Costs &amp; WC'!B15</f>
        <v>Accounts Payable</v>
      </c>
      <c r="C160" s="5"/>
      <c r="D160" s="20" t="s">
        <v>122</v>
      </c>
      <c r="E160" s="8">
        <f>'Var Costs &amp; WC'!H15</f>
        <v>30</v>
      </c>
      <c r="F160" s="8" t="str">
        <f>'Var Costs &amp; WC'!I15</f>
        <v>Days</v>
      </c>
    </row>
    <row r="161" spans="1:9">
      <c r="B161" s="5" t="str">
        <f>'Var Costs &amp; WC'!B16</f>
        <v>Lithium Inventory</v>
      </c>
      <c r="C161" s="5"/>
      <c r="D161" s="20" t="s">
        <v>122</v>
      </c>
      <c r="E161" s="8">
        <f>'Var Costs &amp; WC'!H16</f>
        <v>30</v>
      </c>
      <c r="F161" s="8" t="str">
        <f>'Var Costs &amp; WC'!I16</f>
        <v>Days</v>
      </c>
    </row>
    <row r="162" spans="1:9">
      <c r="B162" s="5" t="str">
        <f>'Var Costs &amp; WC'!B17</f>
        <v>Raw Materials</v>
      </c>
      <c r="C162" s="5"/>
      <c r="D162" s="20" t="s">
        <v>122</v>
      </c>
      <c r="E162" s="8">
        <f>'Var Costs &amp; WC'!H17</f>
        <v>15</v>
      </c>
      <c r="F162" s="8" t="str">
        <f>'Var Costs &amp; WC'!I17</f>
        <v>Days</v>
      </c>
    </row>
    <row r="163" spans="1:9">
      <c r="B163" s="5"/>
      <c r="C163" s="5"/>
      <c r="D163" s="7"/>
      <c r="E163" s="8"/>
      <c r="F163" s="21"/>
    </row>
    <row r="164" spans="1:9">
      <c r="B164" s="5"/>
      <c r="C164" s="5"/>
      <c r="D164" s="7"/>
      <c r="E164" s="8"/>
      <c r="F164" s="21"/>
    </row>
    <row r="165" spans="1:9">
      <c r="A165" s="86" t="s">
        <v>22</v>
      </c>
      <c r="B165" s="86"/>
      <c r="C165" s="86"/>
      <c r="D165" s="86"/>
      <c r="E165" s="86"/>
      <c r="F165" s="86"/>
      <c r="G165" s="86"/>
      <c r="H165" s="86"/>
      <c r="I165" s="86"/>
    </row>
    <row r="167" spans="1:9">
      <c r="B167" s="5"/>
      <c r="C167" s="5"/>
      <c r="D167" s="7" t="s">
        <v>23</v>
      </c>
      <c r="E167" s="23">
        <f>'Total Permanent Investment'!G9</f>
        <v>0.05</v>
      </c>
      <c r="F167" s="21" t="s">
        <v>130</v>
      </c>
      <c r="G167" s="5"/>
      <c r="H167" s="5"/>
    </row>
    <row r="168" spans="1:9">
      <c r="B168" s="5"/>
      <c r="C168" s="5"/>
      <c r="D168" s="7" t="s">
        <v>24</v>
      </c>
      <c r="E168" s="23">
        <f>'Total Permanent Investment'!G10</f>
        <v>0.05</v>
      </c>
      <c r="F168" s="21" t="s">
        <v>130</v>
      </c>
      <c r="G168" s="7"/>
      <c r="H168" s="5"/>
    </row>
    <row r="169" spans="1:9">
      <c r="B169" s="5"/>
      <c r="C169" s="5"/>
      <c r="D169" s="7" t="s">
        <v>126</v>
      </c>
      <c r="E169" s="24">
        <f>'Total Permanent Investment'!G11</f>
        <v>0</v>
      </c>
      <c r="F169" s="21"/>
      <c r="G169" s="7"/>
      <c r="H169" s="5"/>
    </row>
    <row r="170" spans="1:9">
      <c r="B170" s="5"/>
      <c r="C170" s="5"/>
      <c r="D170" s="7" t="s">
        <v>127</v>
      </c>
      <c r="E170" s="23">
        <f>'Total Permanent Investment'!G12</f>
        <v>0.2</v>
      </c>
      <c r="F170" s="21" t="s">
        <v>131</v>
      </c>
      <c r="G170" s="7"/>
      <c r="H170" s="5"/>
    </row>
    <row r="171" spans="1:9">
      <c r="B171" s="5"/>
      <c r="C171" s="5"/>
      <c r="D171" s="7" t="s">
        <v>128</v>
      </c>
      <c r="E171" s="23">
        <f>'Total Permanent Investment'!G13</f>
        <v>0.02</v>
      </c>
      <c r="F171" s="21" t="s">
        <v>47</v>
      </c>
      <c r="G171" s="5"/>
      <c r="H171" s="5"/>
    </row>
    <row r="172" spans="1:9">
      <c r="B172" s="5"/>
      <c r="C172" s="5"/>
      <c r="D172" s="7" t="s">
        <v>129</v>
      </c>
      <c r="E172" s="24">
        <f>'Total Permanent Investment'!G14</f>
        <v>0</v>
      </c>
      <c r="F172" s="21"/>
      <c r="G172" s="5"/>
      <c r="H172" s="5"/>
    </row>
    <row r="173" spans="1:9">
      <c r="B173" s="5"/>
      <c r="C173" s="5"/>
      <c r="D173" s="7" t="s">
        <v>25</v>
      </c>
      <c r="E173" s="23">
        <f>'Total Permanent Investment'!G15</f>
        <v>0.15</v>
      </c>
      <c r="F173" s="21" t="s">
        <v>47</v>
      </c>
      <c r="G173" s="5"/>
      <c r="H173" s="5"/>
    </row>
    <row r="176" spans="1:9">
      <c r="A176" s="86" t="s">
        <v>5</v>
      </c>
      <c r="B176" s="86"/>
      <c r="C176" s="86"/>
      <c r="D176" s="86"/>
      <c r="E176" s="86"/>
      <c r="F176" s="86"/>
      <c r="G176" s="86"/>
      <c r="H176" s="86"/>
      <c r="I176" s="86"/>
    </row>
    <row r="177" spans="2:7">
      <c r="B177" s="99" t="s">
        <v>26</v>
      </c>
    </row>
    <row r="178" spans="2:7">
      <c r="D178" s="88" t="s">
        <v>27</v>
      </c>
      <c r="E178" s="89">
        <f>'Fixed Costs'!E3</f>
        <v>2</v>
      </c>
      <c r="F178" s="89" t="str">
        <f>'Fixed Costs'!F3&amp;" "&amp;'Fixed Costs'!G3&amp;" "&amp;'Fixed Costs'!H3</f>
        <v>(assuming 5 shifts)</v>
      </c>
      <c r="G178" s="89"/>
    </row>
    <row r="179" spans="2:7">
      <c r="D179" s="88" t="s">
        <v>28</v>
      </c>
      <c r="E179" s="111">
        <f>'Fixed Costs'!E4</f>
        <v>40</v>
      </c>
      <c r="F179" s="112" t="s">
        <v>247</v>
      </c>
      <c r="G179" s="89"/>
    </row>
    <row r="180" spans="2:7">
      <c r="D180" s="88" t="s">
        <v>29</v>
      </c>
      <c r="E180" s="113">
        <f>'Fixed Costs'!E5</f>
        <v>0.15</v>
      </c>
      <c r="F180" s="89" t="s">
        <v>45</v>
      </c>
      <c r="G180" s="89"/>
    </row>
    <row r="181" spans="2:7">
      <c r="D181" s="88" t="s">
        <v>92</v>
      </c>
      <c r="E181" s="113">
        <f>'Fixed Costs'!E6</f>
        <v>0.06</v>
      </c>
      <c r="F181" s="89" t="s">
        <v>45</v>
      </c>
      <c r="G181" s="89"/>
    </row>
    <row r="182" spans="2:7">
      <c r="D182" s="88" t="s">
        <v>93</v>
      </c>
      <c r="E182" s="177">
        <f>'Fixed Costs'!E7</f>
        <v>200000</v>
      </c>
      <c r="F182" s="89" t="s">
        <v>281</v>
      </c>
      <c r="G182" s="89"/>
    </row>
    <row r="183" spans="2:7">
      <c r="D183" s="88" t="s">
        <v>282</v>
      </c>
      <c r="E183" s="176">
        <f>'Fixed Costs'!E8</f>
        <v>1</v>
      </c>
      <c r="F183" s="89"/>
      <c r="G183" s="89"/>
    </row>
    <row r="184" spans="2:7">
      <c r="D184" s="88" t="s">
        <v>94</v>
      </c>
      <c r="E184" s="177">
        <f>'Fixed Costs'!E9</f>
        <v>250000</v>
      </c>
      <c r="F184" s="89" t="s">
        <v>284</v>
      </c>
      <c r="G184" s="89"/>
    </row>
    <row r="185" spans="2:7">
      <c r="D185" s="88" t="s">
        <v>283</v>
      </c>
      <c r="E185" s="176">
        <f>'Fixed Costs'!E10</f>
        <v>1</v>
      </c>
      <c r="F185" s="89"/>
      <c r="G185" s="89"/>
    </row>
    <row r="187" spans="2:7">
      <c r="B187" s="99" t="s">
        <v>30</v>
      </c>
    </row>
    <row r="188" spans="2:7">
      <c r="D188" s="88" t="s">
        <v>46</v>
      </c>
      <c r="E188" s="114">
        <f>'Fixed Costs'!E13</f>
        <v>1.4999999999999999E-2</v>
      </c>
      <c r="F188" s="89" t="s">
        <v>47</v>
      </c>
      <c r="G188" s="89"/>
    </row>
    <row r="189" spans="2:7">
      <c r="D189" s="88" t="s">
        <v>31</v>
      </c>
      <c r="E189" s="113">
        <f>'Fixed Costs'!E14</f>
        <v>0.25</v>
      </c>
      <c r="F189" s="89" t="s">
        <v>48</v>
      </c>
      <c r="G189" s="89"/>
    </row>
    <row r="190" spans="2:7">
      <c r="D190" s="88" t="s">
        <v>32</v>
      </c>
      <c r="E190" s="113">
        <f>'Fixed Costs'!E15</f>
        <v>1</v>
      </c>
      <c r="F190" s="89" t="s">
        <v>48</v>
      </c>
      <c r="G190" s="89"/>
    </row>
    <row r="191" spans="2:7">
      <c r="D191" s="88" t="s">
        <v>33</v>
      </c>
      <c r="E191" s="113">
        <f>'Fixed Costs'!E16</f>
        <v>0.05</v>
      </c>
      <c r="F191" s="89" t="s">
        <v>48</v>
      </c>
      <c r="G191" s="89"/>
    </row>
    <row r="192" spans="2:7">
      <c r="D192" s="88"/>
    </row>
    <row r="193" spans="2:6">
      <c r="B193" s="99" t="s">
        <v>34</v>
      </c>
      <c r="D193" s="88"/>
    </row>
    <row r="194" spans="2:6">
      <c r="D194" s="88"/>
    </row>
    <row r="195" spans="2:6">
      <c r="D195" s="88" t="s">
        <v>35</v>
      </c>
      <c r="E195" s="114">
        <f>'Fixed Costs'!E20</f>
        <v>7.0999999999999994E-2</v>
      </c>
      <c r="F195" s="89" t="s">
        <v>224</v>
      </c>
    </row>
    <row r="196" spans="2:6">
      <c r="D196" s="88" t="s">
        <v>36</v>
      </c>
      <c r="E196" s="114">
        <f>'Fixed Costs'!E21</f>
        <v>2.4E-2</v>
      </c>
      <c r="F196" s="89" t="s">
        <v>224</v>
      </c>
    </row>
    <row r="197" spans="2:6">
      <c r="D197" s="88" t="s">
        <v>167</v>
      </c>
      <c r="E197" s="114">
        <f>'Fixed Costs'!E22</f>
        <v>5.8999999999999997E-2</v>
      </c>
      <c r="F197" s="89" t="s">
        <v>224</v>
      </c>
    </row>
    <row r="198" spans="2:6">
      <c r="D198" s="88" t="s">
        <v>168</v>
      </c>
      <c r="E198" s="114">
        <f>'Fixed Costs'!E23</f>
        <v>7.3999999999999996E-2</v>
      </c>
      <c r="F198" s="89" t="s">
        <v>224</v>
      </c>
    </row>
    <row r="199" spans="2:6">
      <c r="D199" s="88"/>
      <c r="E199" s="101"/>
    </row>
    <row r="201" spans="2:6">
      <c r="B201" s="99" t="s">
        <v>97</v>
      </c>
    </row>
    <row r="202" spans="2:6">
      <c r="D202" s="88" t="s">
        <v>98</v>
      </c>
      <c r="E202" s="113">
        <f>'Fixed Costs'!E27</f>
        <v>0.02</v>
      </c>
      <c r="F202" s="89" t="s">
        <v>47</v>
      </c>
    </row>
    <row r="203" spans="2:6">
      <c r="D203" s="88"/>
      <c r="E203" s="115"/>
    </row>
    <row r="204" spans="2:6">
      <c r="B204" s="99" t="s">
        <v>99</v>
      </c>
      <c r="D204" s="88"/>
      <c r="E204" s="115"/>
    </row>
    <row r="205" spans="2:6">
      <c r="B205" s="87" t="s">
        <v>100</v>
      </c>
      <c r="C205" s="101">
        <f>'Fixed Costs'!C30</f>
        <v>0.08</v>
      </c>
      <c r="D205" s="116" t="str">
        <f>'Fixed Costs'!D30&amp;" "&amp;'Fixed Costs'!G30&amp;" "&amp;'Fixed Costs'!H30</f>
        <v xml:space="preserve">of Total Depreciable Capital, less 1.2 times the Allocated Costs </v>
      </c>
      <c r="E205" s="113"/>
      <c r="F205" s="89"/>
    </row>
    <row r="206" spans="2:6">
      <c r="C206" s="101"/>
      <c r="E206" s="113"/>
      <c r="F206" s="116" t="str">
        <f>'Fixed Costs'!H31</f>
        <v>for Utility Plants and Related Facilities</v>
      </c>
    </row>
    <row r="207" spans="2:6">
      <c r="B207" s="87" t="s">
        <v>101</v>
      </c>
      <c r="C207" s="101">
        <f>'Fixed Costs'!C32</f>
        <v>0.06</v>
      </c>
      <c r="D207" s="116" t="str">
        <f>'Fixed Costs'!D32&amp;" "&amp;'Fixed Costs'!E32&amp;" "&amp;'Fixed Costs'!F32</f>
        <v>of 1.2 times the Allocated Costs for Utility Plants and Related Facilities</v>
      </c>
      <c r="E207" s="113"/>
      <c r="F207" s="89"/>
    </row>
    <row r="208" spans="2:6">
      <c r="C208" s="101"/>
      <c r="D208" s="117"/>
      <c r="E208" s="115"/>
    </row>
    <row r="209" spans="1:9">
      <c r="B209" s="99" t="s">
        <v>107</v>
      </c>
      <c r="C209" s="101"/>
      <c r="D209" s="117"/>
      <c r="E209" s="115"/>
    </row>
    <row r="210" spans="1:9">
      <c r="C210" s="101"/>
      <c r="D210" s="88" t="s">
        <v>112</v>
      </c>
      <c r="E210" s="118">
        <f>'Fixed Costs'!E35</f>
        <v>0</v>
      </c>
    </row>
    <row r="211" spans="1:9">
      <c r="C211" s="101"/>
      <c r="D211" s="88" t="s">
        <v>108</v>
      </c>
      <c r="E211" s="118">
        <f>'Fixed Costs'!E36</f>
        <v>0</v>
      </c>
    </row>
    <row r="212" spans="1:9">
      <c r="C212" s="101"/>
      <c r="D212" s="88" t="s">
        <v>109</v>
      </c>
      <c r="E212" s="118">
        <f>'Fixed Costs'!E37</f>
        <v>0</v>
      </c>
    </row>
    <row r="213" spans="1:9">
      <c r="C213" s="101"/>
      <c r="D213" s="88"/>
      <c r="E213" s="118"/>
    </row>
    <row r="214" spans="1:9">
      <c r="B214" s="99" t="s">
        <v>311</v>
      </c>
      <c r="C214" s="101"/>
      <c r="D214" s="88"/>
      <c r="E214" s="118"/>
    </row>
    <row r="215" spans="1:9">
      <c r="B215" s="99"/>
      <c r="C215" s="188" t="s">
        <v>295</v>
      </c>
      <c r="D215" s="187">
        <f>'Fixed Costs'!E44</f>
        <v>0</v>
      </c>
      <c r="E215" s="118">
        <f>'Fixed Costs'!E43</f>
        <v>0</v>
      </c>
    </row>
    <row r="216" spans="1:9">
      <c r="C216" s="101"/>
      <c r="D216" s="88"/>
      <c r="E216" s="118"/>
    </row>
    <row r="217" spans="1:9">
      <c r="B217" s="99" t="s">
        <v>110</v>
      </c>
      <c r="C217" s="101"/>
      <c r="D217" s="88"/>
      <c r="E217" s="118"/>
    </row>
    <row r="218" spans="1:9">
      <c r="D218" s="88" t="s">
        <v>111</v>
      </c>
      <c r="E218" s="118">
        <f>'Fixed Costs'!E40</f>
        <v>0</v>
      </c>
    </row>
    <row r="219" spans="1:9">
      <c r="A219" s="103"/>
      <c r="B219" s="103"/>
      <c r="C219" s="103"/>
      <c r="D219" s="103"/>
      <c r="E219" s="103"/>
      <c r="F219" s="103"/>
      <c r="G219" s="103"/>
      <c r="H219" s="103"/>
      <c r="I219" s="103"/>
    </row>
  </sheetData>
  <sheetProtection algorithmName="SHA-512" hashValue="K3Cz21smW2IVFs6Ie1GF71L4RGp3B3IIXy+act7pQoIh5u0JAVz48qv3EM24JyHeLDNvcl/In8n1BG6+1K8kTA==" saltValue="chSEsYwllEO5L8cFhlE3ag==" spinCount="100000" sheet="1" objects="1" scenarios="1"/>
  <mergeCells count="37">
    <mergeCell ref="C56:D56"/>
    <mergeCell ref="C55:D55"/>
    <mergeCell ref="C44:D44"/>
    <mergeCell ref="C45:D45"/>
    <mergeCell ref="C46:D46"/>
    <mergeCell ref="C47:D47"/>
    <mergeCell ref="C48:D48"/>
    <mergeCell ref="C49:D49"/>
    <mergeCell ref="C50:D50"/>
    <mergeCell ref="C51:D51"/>
    <mergeCell ref="C52:D52"/>
    <mergeCell ref="C53:D53"/>
    <mergeCell ref="C54:D54"/>
    <mergeCell ref="C43:D43"/>
    <mergeCell ref="C32:D32"/>
    <mergeCell ref="C33:D33"/>
    <mergeCell ref="C34:D34"/>
    <mergeCell ref="C35:D35"/>
    <mergeCell ref="C36:D36"/>
    <mergeCell ref="C37:D37"/>
    <mergeCell ref="C38:D38"/>
    <mergeCell ref="C39:D39"/>
    <mergeCell ref="C40:D40"/>
    <mergeCell ref="C41:D41"/>
    <mergeCell ref="C42:D42"/>
    <mergeCell ref="C31:D31"/>
    <mergeCell ref="C20:D20"/>
    <mergeCell ref="C21:D21"/>
    <mergeCell ref="C22:D22"/>
    <mergeCell ref="C23:D23"/>
    <mergeCell ref="C24:D24"/>
    <mergeCell ref="C25:D25"/>
    <mergeCell ref="C26:D26"/>
    <mergeCell ref="C27:D27"/>
    <mergeCell ref="C28:D28"/>
    <mergeCell ref="C29:D29"/>
    <mergeCell ref="C30:D30"/>
  </mergeCells>
  <pageMargins left="0.7" right="0.7" top="0.75" bottom="0.75" header="0.3" footer="0.3"/>
  <pageSetup scale="87" orientation="portrait"/>
  <headerFooter>
    <oddHeader>&amp;C&amp;"Calibri"&amp;10&amp;K000000 Public&amp;1#_x000D_</oddHeader>
    <oddFooter>&amp;C_x000D_&amp;1#&amp;"Calibri"&amp;10&amp;K000000 Public</oddFooter>
  </headerFooter>
  <rowBreaks count="3" manualBreakCount="3">
    <brk id="56" max="16383" man="1"/>
    <brk id="102" max="16383" man="1"/>
    <brk id="164" max="16383" man="1"/>
  </rowBreaks>
  <ignoredErrors>
    <ignoredError sqref="F69"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50"/>
  </sheetPr>
  <dimension ref="A1:N128"/>
  <sheetViews>
    <sheetView showGridLines="0" zoomScaleNormal="100" workbookViewId="0">
      <selection activeCell="I38" sqref="I38"/>
    </sheetView>
  </sheetViews>
  <sheetFormatPr defaultColWidth="9.140625" defaultRowHeight="12.75"/>
  <cols>
    <col min="1" max="3" width="9.140625" style="87"/>
    <col min="4" max="4" width="9.28515625" style="87" bestFit="1" customWidth="1"/>
    <col min="5" max="5" width="9.140625" style="87"/>
    <col min="6" max="6" width="9.140625" style="87" customWidth="1"/>
    <col min="7" max="7" width="15.42578125" style="87" bestFit="1" customWidth="1"/>
    <col min="8" max="8" width="15.28515625" style="87" customWidth="1"/>
    <col min="9" max="9" width="16.42578125" style="87" customWidth="1"/>
    <col min="10" max="10" width="5.42578125" style="87" customWidth="1"/>
    <col min="11" max="13" width="9.140625" style="87"/>
    <col min="14" max="15" width="0" style="87" hidden="1" customWidth="1"/>
    <col min="16" max="16384" width="9.140625" style="87"/>
  </cols>
  <sheetData>
    <row r="1" spans="1:10">
      <c r="A1" s="86" t="s">
        <v>50</v>
      </c>
      <c r="B1" s="86"/>
      <c r="C1" s="86"/>
      <c r="D1" s="86"/>
      <c r="E1" s="86"/>
      <c r="F1" s="86"/>
      <c r="G1" s="86"/>
      <c r="H1" s="86"/>
      <c r="I1" s="119"/>
      <c r="J1" s="119"/>
    </row>
    <row r="2" spans="1:10">
      <c r="B2" s="99" t="s">
        <v>190</v>
      </c>
    </row>
    <row r="4" spans="1:10">
      <c r="B4" s="99" t="s">
        <v>51</v>
      </c>
    </row>
    <row r="6" spans="1:10">
      <c r="C6" s="87" t="str">
        <f>'Input Summary'!D150</f>
        <v>Selling / Transfer Expenses:</v>
      </c>
      <c r="G6" s="120">
        <f>'Input Summary'!E150*'Input Summary'!$C$15*'Input Summary'!$C$17</f>
        <v>8408851.5</v>
      </c>
      <c r="H6" s="121"/>
    </row>
    <row r="7" spans="1:10">
      <c r="C7" s="87" t="str">
        <f>'Input Summary'!D151</f>
        <v>Direct Research:</v>
      </c>
      <c r="G7" s="120">
        <f>'Input Summary'!E151*'Input Summary'!$C$15*'Input Summary'!$C$17</f>
        <v>8408851.5</v>
      </c>
      <c r="H7" s="121"/>
    </row>
    <row r="8" spans="1:10">
      <c r="C8" s="87" t="str">
        <f>'Input Summary'!D152</f>
        <v>Allocated Research:</v>
      </c>
      <c r="G8" s="120">
        <f>'Input Summary'!E152*'Input Summary'!$C$15*'Input Summary'!$C$17</f>
        <v>1401475.25</v>
      </c>
      <c r="H8" s="121"/>
    </row>
    <row r="9" spans="1:10">
      <c r="C9" s="87" t="str">
        <f>'Input Summary'!D153</f>
        <v>Administrative Expense:</v>
      </c>
      <c r="G9" s="120">
        <f>'Input Summary'!E153*'Input Summary'!$C$15*'Input Summary'!$C$17</f>
        <v>5605901</v>
      </c>
      <c r="H9" s="121"/>
    </row>
    <row r="10" spans="1:10">
      <c r="C10" s="87" t="str">
        <f>'Input Summary'!D154</f>
        <v>Management Incentive Compensation:</v>
      </c>
      <c r="G10" s="120">
        <f>'Input Summary'!E154*'Input Summary'!$C$15*'Input Summary'!$C$17</f>
        <v>3503688.125</v>
      </c>
      <c r="H10" s="121"/>
    </row>
    <row r="12" spans="1:10">
      <c r="B12" s="89" t="s">
        <v>188</v>
      </c>
      <c r="G12" s="120">
        <f>SUM(G6:G10)</f>
        <v>27328767.375</v>
      </c>
    </row>
    <row r="14" spans="1:10">
      <c r="B14" s="99" t="s">
        <v>178</v>
      </c>
      <c r="D14" s="193">
        <f ca="1">'General Input'!F71</f>
        <v>6109.6795339999999</v>
      </c>
      <c r="E14" s="87" t="str">
        <f>'General Input'!G71</f>
        <v>per tonnes of Lithium</v>
      </c>
      <c r="G14" s="186">
        <f ca="1">'General Input'!F71*'Input Summary'!C15</f>
        <v>30548397.669999998</v>
      </c>
    </row>
    <row r="15" spans="1:10">
      <c r="B15" s="99"/>
      <c r="D15" s="193"/>
    </row>
    <row r="16" spans="1:10">
      <c r="B16" s="99" t="s">
        <v>317</v>
      </c>
      <c r="D16" s="193">
        <f ca="1">'General Input'!F86</f>
        <v>0</v>
      </c>
      <c r="E16" s="87" t="str">
        <f>'General Input'!G86</f>
        <v>per tonnes of Lithium</v>
      </c>
      <c r="G16" s="186">
        <f ca="1">-'General Input'!F86*'Input Summary'!C15</f>
        <v>0</v>
      </c>
    </row>
    <row r="17" spans="1:10">
      <c r="B17" s="99"/>
      <c r="D17" s="193"/>
    </row>
    <row r="18" spans="1:10">
      <c r="B18" s="99" t="s">
        <v>189</v>
      </c>
      <c r="D18" s="193">
        <f ca="1">'General Input'!F101</f>
        <v>901.3403880070548</v>
      </c>
      <c r="E18" s="87" t="str">
        <f>'General Input'!G101</f>
        <v>per tonnes of Lithium</v>
      </c>
      <c r="G18" s="186">
        <f ca="1">'General Input'!F101*'Input Summary'!C15</f>
        <v>4506701.9400352743</v>
      </c>
    </row>
    <row r="19" spans="1:10">
      <c r="B19" s="99"/>
      <c r="D19" s="193"/>
      <c r="G19" s="122"/>
    </row>
    <row r="20" spans="1:10">
      <c r="B20" s="99" t="s">
        <v>297</v>
      </c>
      <c r="D20" s="193">
        <f>'General Input'!F104</f>
        <v>0</v>
      </c>
      <c r="E20" s="87" t="str">
        <f>'General Input'!G104</f>
        <v>per tonnes of Lithium</v>
      </c>
      <c r="G20" s="186">
        <f>'General Input'!F104*'Input Summary'!C15</f>
        <v>0</v>
      </c>
    </row>
    <row r="22" spans="1:10" ht="15">
      <c r="B22" s="99" t="s">
        <v>52</v>
      </c>
      <c r="G22" s="123">
        <f ca="1">SUM(G12:G20)*'Profitability Measures'!R37</f>
        <v>62383866.985035278</v>
      </c>
    </row>
    <row r="24" spans="1:10">
      <c r="A24" s="86" t="s">
        <v>53</v>
      </c>
      <c r="B24" s="86"/>
      <c r="C24" s="86"/>
      <c r="D24" s="86"/>
      <c r="E24" s="86"/>
      <c r="F24" s="86"/>
      <c r="G24" s="86"/>
      <c r="H24" s="86"/>
      <c r="I24" s="86"/>
      <c r="J24" s="86"/>
    </row>
    <row r="27" spans="1:10">
      <c r="B27" s="99" t="s">
        <v>26</v>
      </c>
    </row>
    <row r="29" spans="1:10">
      <c r="C29" s="87" t="s">
        <v>54</v>
      </c>
      <c r="G29" s="121">
        <f>'Fixed Costs'!E3*'Fixed Costs'!G3*'Fixed Costs'!E4*40*52</f>
        <v>832000</v>
      </c>
      <c r="H29" s="122"/>
      <c r="I29" s="124"/>
    </row>
    <row r="30" spans="1:10">
      <c r="C30" s="87" t="s">
        <v>55</v>
      </c>
      <c r="G30" s="121">
        <f>$G$29*'Input Summary'!E180</f>
        <v>124800</v>
      </c>
      <c r="H30" s="115"/>
    </row>
    <row r="31" spans="1:10">
      <c r="C31" s="87" t="s">
        <v>91</v>
      </c>
      <c r="G31" s="121">
        <f>$G$29*'Input Summary'!E181</f>
        <v>49920</v>
      </c>
      <c r="H31" s="115"/>
    </row>
    <row r="32" spans="1:10">
      <c r="C32" s="87" t="s">
        <v>56</v>
      </c>
      <c r="G32" s="121">
        <f>'Input Summary'!E182*'Input Summary'!E183</f>
        <v>200000</v>
      </c>
      <c r="H32" s="125"/>
    </row>
    <row r="33" spans="2:8">
      <c r="C33" s="87" t="s">
        <v>166</v>
      </c>
      <c r="G33" s="121">
        <f>'Input Summary'!E184*'Input Summary'!E185</f>
        <v>250000</v>
      </c>
      <c r="H33" s="125"/>
    </row>
    <row r="34" spans="2:8">
      <c r="G34" s="121"/>
      <c r="H34" s="125"/>
    </row>
    <row r="35" spans="2:8">
      <c r="C35" s="89" t="s">
        <v>225</v>
      </c>
      <c r="G35" s="126">
        <f>SUM(G29:G33)</f>
        <v>1456720</v>
      </c>
      <c r="H35" s="125"/>
    </row>
    <row r="36" spans="2:8">
      <c r="G36" s="121"/>
    </row>
    <row r="37" spans="2:8">
      <c r="B37" s="99" t="s">
        <v>30</v>
      </c>
      <c r="G37" s="121"/>
    </row>
    <row r="38" spans="2:8">
      <c r="C38" s="117" t="s">
        <v>57</v>
      </c>
      <c r="G38" s="121">
        <f ca="1">'Input Summary'!E188*'Cost Summary'!H103</f>
        <v>481323.09153040923</v>
      </c>
      <c r="H38" s="101"/>
    </row>
    <row r="39" spans="2:8">
      <c r="C39" s="117" t="s">
        <v>58</v>
      </c>
      <c r="G39" s="121">
        <f ca="1">$G$38*'Input Summary'!E189</f>
        <v>120330.77288260231</v>
      </c>
      <c r="H39" s="115"/>
    </row>
    <row r="40" spans="2:8">
      <c r="C40" s="117" t="s">
        <v>59</v>
      </c>
      <c r="G40" s="121">
        <f ca="1">$G$38*'Input Summary'!E190</f>
        <v>481323.09153040923</v>
      </c>
      <c r="H40" s="115"/>
    </row>
    <row r="41" spans="2:8">
      <c r="C41" s="117" t="s">
        <v>60</v>
      </c>
      <c r="G41" s="121">
        <f ca="1">$G$38*'Input Summary'!E191</f>
        <v>24066.154576520465</v>
      </c>
      <c r="H41" s="115"/>
    </row>
    <row r="42" spans="2:8">
      <c r="G42" s="121"/>
      <c r="H42" s="125"/>
    </row>
    <row r="43" spans="2:8">
      <c r="C43" s="89" t="s">
        <v>226</v>
      </c>
      <c r="G43" s="126">
        <f ca="1">SUM(G38:G41)</f>
        <v>1107043.1105199412</v>
      </c>
      <c r="H43" s="125"/>
    </row>
    <row r="44" spans="2:8">
      <c r="G44" s="121"/>
    </row>
    <row r="45" spans="2:8">
      <c r="B45" s="99" t="s">
        <v>34</v>
      </c>
      <c r="D45" s="88"/>
      <c r="G45" s="121"/>
    </row>
    <row r="46" spans="2:8">
      <c r="D46" s="88"/>
      <c r="G46" s="121"/>
    </row>
    <row r="47" spans="2:8">
      <c r="C47" s="117" t="str">
        <f>'Input Summary'!D195</f>
        <v>General Plant Overhead:</v>
      </c>
      <c r="G47" s="121">
        <f ca="1">'Input Summary'!E195*('Cost Summary'!$G$38+$G$29+$G$30+$G$39)</f>
        <v>110650.22437332381</v>
      </c>
      <c r="H47" s="101"/>
    </row>
    <row r="48" spans="2:8">
      <c r="C48" s="117" t="str">
        <f>'Input Summary'!D196</f>
        <v>Mechanical Department Services:</v>
      </c>
      <c r="G48" s="121">
        <f ca="1">'Input Summary'!E196*('Cost Summary'!$G$38+$G$29+$G$30+$G$39)</f>
        <v>37402.892745912279</v>
      </c>
      <c r="H48" s="101"/>
    </row>
    <row r="49" spans="2:8">
      <c r="C49" s="117" t="str">
        <f>'Input Summary'!D197</f>
        <v>Employee Relations Department:</v>
      </c>
      <c r="G49" s="121">
        <f ca="1">'Input Summary'!E197*('Cost Summary'!$G$38+$G$29+$G$30+$G$39)</f>
        <v>91948.778000367674</v>
      </c>
      <c r="H49" s="101"/>
    </row>
    <row r="50" spans="2:8">
      <c r="C50" s="117" t="str">
        <f>'Input Summary'!D198</f>
        <v>Business Services:</v>
      </c>
      <c r="G50" s="121">
        <f ca="1">'Input Summary'!E198*('Cost Summary'!$G$38+$G$29+$G$30+$G$39)</f>
        <v>115325.58596656285</v>
      </c>
      <c r="H50" s="101"/>
    </row>
    <row r="51" spans="2:8">
      <c r="C51" s="117"/>
      <c r="G51" s="121"/>
      <c r="H51" s="101"/>
    </row>
    <row r="52" spans="2:8">
      <c r="C52" s="116" t="s">
        <v>227</v>
      </c>
      <c r="G52" s="126">
        <f ca="1">SUM(G47:G50)</f>
        <v>355327.48108616663</v>
      </c>
      <c r="H52" s="101"/>
    </row>
    <row r="53" spans="2:8">
      <c r="G53" s="121"/>
    </row>
    <row r="54" spans="2:8">
      <c r="B54" s="99" t="str">
        <f>'Input Summary'!B201</f>
        <v>Property Taxes and Insurance</v>
      </c>
      <c r="G54" s="121"/>
    </row>
    <row r="55" spans="2:8">
      <c r="B55" s="99"/>
      <c r="G55" s="121"/>
    </row>
    <row r="56" spans="2:8">
      <c r="C56" s="117" t="str">
        <f>'Input Summary'!D202</f>
        <v>Property Taxes and Insurance:</v>
      </c>
      <c r="G56" s="121">
        <f ca="1">'Input Summary'!E202*'Cost Summary'!H103</f>
        <v>641764.12204054568</v>
      </c>
      <c r="H56" s="115"/>
    </row>
    <row r="58" spans="2:8">
      <c r="B58" s="99" t="str">
        <f>'Input Summary'!B209</f>
        <v>Other Annual Expenses</v>
      </c>
    </row>
    <row r="60" spans="2:8">
      <c r="C60" s="87" t="str">
        <f>'Input Summary'!D210</f>
        <v>Rental Fees (Office and Laboratory Space):</v>
      </c>
      <c r="G60" s="121">
        <f>'Input Summary'!E210</f>
        <v>0</v>
      </c>
    </row>
    <row r="61" spans="2:8">
      <c r="C61" s="87" t="str">
        <f>'Input Summary'!D211</f>
        <v>Licensing Fees:</v>
      </c>
      <c r="G61" s="121">
        <f>'Input Summary'!E211</f>
        <v>0</v>
      </c>
    </row>
    <row r="62" spans="2:8">
      <c r="C62" s="87" t="str">
        <f>'Input Summary'!D212</f>
        <v>Miscellaneous:</v>
      </c>
      <c r="G62" s="121">
        <f>'Input Summary'!E212</f>
        <v>0</v>
      </c>
    </row>
    <row r="64" spans="2:8">
      <c r="C64" s="89" t="s">
        <v>228</v>
      </c>
      <c r="G64" s="127">
        <f>SUM(G60:G62)</f>
        <v>0</v>
      </c>
    </row>
    <row r="66" spans="1:14" ht="15">
      <c r="B66" s="99" t="s">
        <v>65</v>
      </c>
      <c r="G66" s="123">
        <f ca="1">SUM(G64,G56,G52,G43,G35)*'Profitability Measures'!R38</f>
        <v>3560854.7136466536</v>
      </c>
    </row>
    <row r="68" spans="1:14">
      <c r="B68" s="99" t="s">
        <v>295</v>
      </c>
      <c r="E68" s="187">
        <f>'Fixed Costs'!E44</f>
        <v>0</v>
      </c>
      <c r="G68" s="126">
        <f>'Fixed Costs'!E43</f>
        <v>0</v>
      </c>
    </row>
    <row r="75" spans="1:14" s="129" customFormat="1" ht="15.75">
      <c r="A75" s="128" t="s">
        <v>165</v>
      </c>
      <c r="B75" s="128"/>
      <c r="C75" s="128"/>
      <c r="D75" s="128"/>
      <c r="E75" s="128"/>
      <c r="F75" s="128"/>
      <c r="G75" s="128"/>
      <c r="H75" s="128"/>
      <c r="I75" s="128"/>
      <c r="J75" s="128"/>
    </row>
    <row r="77" spans="1:14">
      <c r="A77" s="99" t="str">
        <f ca="1">IF('Equipment Costs'!$E$101&gt;0,"Installed Equipment  Costs:","Total Bare Module Costs:")</f>
        <v>Total Bare Module Costs:</v>
      </c>
      <c r="B77" s="99"/>
      <c r="G77" s="121"/>
    </row>
    <row r="78" spans="1:14">
      <c r="A78" s="99"/>
      <c r="B78" s="89" t="str">
        <f ca="1">IF('Equipment Costs'!$E$101=0,'Cost Summary'!N78,'Equipment Costs'!B95)</f>
        <v>Fabricated Equipment</v>
      </c>
      <c r="G78" s="121">
        <f ca="1">IF('Equipment Costs'!$E$101=0,SUMIF('Equipment Costs'!$B$7:$B$89,'Cost Summary'!N78,'Equipment Costs'!$E$7:$E$89),'Equipment Costs'!E95)</f>
        <v>17239029.706666667</v>
      </c>
      <c r="H78" s="121"/>
      <c r="N78" s="89" t="s">
        <v>136</v>
      </c>
    </row>
    <row r="79" spans="1:14">
      <c r="B79" s="89" t="str">
        <f ca="1">IF('Equipment Costs'!$E$101=0,'Cost Summary'!N79,'Equipment Costs'!B96)</f>
        <v>Process Machinery</v>
      </c>
      <c r="G79" s="121">
        <f ca="1">IF('Equipment Costs'!$E$101=0,SUMIF('Equipment Costs'!$B$7:$B$89,'Cost Summary'!N79,'Equipment Costs'!$E$7:$E$89),'Equipment Costs'!E96)</f>
        <v>1157275.9468422115</v>
      </c>
      <c r="H79" s="121"/>
      <c r="N79" s="89" t="s">
        <v>61</v>
      </c>
    </row>
    <row r="80" spans="1:14">
      <c r="B80" s="89" t="str">
        <f ca="1">IF('Equipment Costs'!$E$101=0,'Cost Summary'!N80,'Equipment Costs'!B97)</f>
        <v>Spares</v>
      </c>
      <c r="G80" s="121">
        <f ca="1">IF('Equipment Costs'!$E$101=0,SUMIF('Equipment Costs'!$B$7:$B$89,'Cost Summary'!N80,'Equipment Costs'!$E$7:$E$89),'Equipment Costs'!E97)</f>
        <v>0</v>
      </c>
      <c r="H80" s="121"/>
      <c r="N80" s="89" t="s">
        <v>137</v>
      </c>
    </row>
    <row r="81" spans="1:14">
      <c r="B81" s="89" t="str">
        <f ca="1">IF('Equipment Costs'!$E$101=0,'Cost Summary'!N81,'Equipment Costs'!B98)</f>
        <v>Storage</v>
      </c>
      <c r="G81" s="121">
        <f ca="1">IF('Equipment Costs'!$E$101=0,SUMIF('Equipment Costs'!$B$7:$B$89,'Cost Summary'!N81,'Equipment Costs'!$E$7:$E$89),'Equipment Costs'!E98)</f>
        <v>5912941.3934814818</v>
      </c>
      <c r="H81" s="121"/>
      <c r="N81" s="89" t="s">
        <v>138</v>
      </c>
    </row>
    <row r="82" spans="1:14">
      <c r="B82" s="89" t="str">
        <f ca="1">IF('Equipment Costs'!$E$101=0,'Cost Summary'!N82,'Equipment Costs'!B99)</f>
        <v>Other Equipment</v>
      </c>
      <c r="G82" s="121">
        <f ca="1">IF('Equipment Costs'!$E$101=0,SUMIF('Equipment Costs'!$B$7:$B$89,'Cost Summary'!N82,'Equipment Costs'!$E$7:$E$89),'Equipment Costs'!E99)</f>
        <v>0</v>
      </c>
      <c r="H82" s="121"/>
      <c r="N82" s="89" t="s">
        <v>139</v>
      </c>
    </row>
    <row r="83" spans="1:14">
      <c r="B83" s="89" t="str">
        <f ca="1">IF('Equipment Costs'!$E$101=0,'Cost Summary'!N83,"")</f>
        <v>Catalysts</v>
      </c>
      <c r="G83" s="121">
        <f ca="1">IF('Equipment Costs'!$E$101=0,SUMIF('Equipment Costs'!$B$7:$B$89,'Cost Summary'!N83,'Equipment Costs'!$E$7:$E$89),"")</f>
        <v>0</v>
      </c>
      <c r="N83" s="89" t="s">
        <v>140</v>
      </c>
    </row>
    <row r="84" spans="1:14">
      <c r="B84" s="89" t="str">
        <f ca="1">IF('Equipment Costs'!$E$101=0,'Cost Summary'!N84,"")</f>
        <v>Computers, Software, Etc.</v>
      </c>
      <c r="G84" s="121">
        <f ca="1">IF('Equipment Costs'!$E$101=0,SUMIF('Equipment Costs'!$B$7:$B$89,'Cost Summary'!N84,'Equipment Costs'!$E$7:$E$89),"")</f>
        <v>0</v>
      </c>
      <c r="H84" s="121"/>
      <c r="N84" s="89" t="s">
        <v>141</v>
      </c>
    </row>
    <row r="85" spans="1:14">
      <c r="G85" s="121"/>
      <c r="H85" s="121"/>
    </row>
    <row r="86" spans="1:14" ht="15">
      <c r="B86" s="99" t="str">
        <f ca="1">IF('Equipment Costs'!$E$101&gt;0,"Total:","Total Bare Module Costs:")</f>
        <v>Total Bare Module Costs:</v>
      </c>
      <c r="H86" s="130">
        <f ca="1">SUM(G78:G84)</f>
        <v>24309247.046990361</v>
      </c>
    </row>
    <row r="87" spans="1:14">
      <c r="G87" s="121"/>
      <c r="H87" s="121"/>
    </row>
    <row r="88" spans="1:14">
      <c r="A88" s="99" t="s">
        <v>62</v>
      </c>
      <c r="B88" s="89"/>
      <c r="G88" s="121"/>
    </row>
    <row r="89" spans="1:14">
      <c r="G89" s="121"/>
    </row>
    <row r="90" spans="1:14">
      <c r="B90" s="89" t="str">
        <f>'Input Summary'!D167</f>
        <v>Cost of Site Preparations:</v>
      </c>
      <c r="G90" s="121">
        <f ca="1">'Input Summary'!E167*'Cost Summary'!$H$86</f>
        <v>1215462.3523495181</v>
      </c>
      <c r="H90" s="115"/>
    </row>
    <row r="91" spans="1:14">
      <c r="B91" s="89" t="str">
        <f>'Input Summary'!D168</f>
        <v>Cost of Service Facilities:</v>
      </c>
      <c r="G91" s="121">
        <f ca="1">'Input Summary'!E168*'Cost Summary'!$H$86</f>
        <v>1215462.3523495181</v>
      </c>
    </row>
    <row r="92" spans="1:14">
      <c r="B92" s="89" t="str">
        <f>'Input Summary'!D169</f>
        <v>Allocated Costs for utility plants and related facilities:</v>
      </c>
      <c r="G92" s="121">
        <f>'Input Summary'!E169</f>
        <v>0</v>
      </c>
    </row>
    <row r="93" spans="1:14">
      <c r="G93" s="121"/>
      <c r="H93" s="131"/>
    </row>
    <row r="94" spans="1:14" ht="15">
      <c r="B94" s="99" t="s">
        <v>62</v>
      </c>
      <c r="H94" s="123">
        <f ca="1">SUM(H86,G90:G92)</f>
        <v>26740171.751689401</v>
      </c>
    </row>
    <row r="95" spans="1:14">
      <c r="G95" s="121"/>
      <c r="H95" s="131"/>
    </row>
    <row r="96" spans="1:14">
      <c r="G96" s="121"/>
    </row>
    <row r="97" spans="1:8">
      <c r="A97" s="99" t="s">
        <v>64</v>
      </c>
      <c r="G97" s="121"/>
    </row>
    <row r="98" spans="1:8">
      <c r="G98" s="121"/>
    </row>
    <row r="99" spans="1:8">
      <c r="B99" s="89" t="s">
        <v>63</v>
      </c>
      <c r="G99" s="121">
        <f ca="1">'Input Summary'!E170*'Cost Summary'!$H$94</f>
        <v>5348034.3503378807</v>
      </c>
      <c r="H99" s="115"/>
    </row>
    <row r="100" spans="1:8">
      <c r="G100" s="121"/>
    </row>
    <row r="101" spans="1:8">
      <c r="B101" s="89" t="s">
        <v>272</v>
      </c>
      <c r="G101" s="121"/>
      <c r="H101" s="131">
        <f ca="1">(G99+H94)*'Profitability Measures'!R39</f>
        <v>32088206.102027282</v>
      </c>
    </row>
    <row r="102" spans="1:8">
      <c r="B102" s="89" t="s">
        <v>69</v>
      </c>
      <c r="G102" s="121"/>
      <c r="H102" s="173">
        <f>'Input Summary'!C5</f>
        <v>1</v>
      </c>
    </row>
    <row r="103" spans="1:8" ht="15">
      <c r="B103" s="99" t="s">
        <v>64</v>
      </c>
      <c r="G103" s="121"/>
      <c r="H103" s="123">
        <f ca="1">H101*H102</f>
        <v>32088206.102027282</v>
      </c>
    </row>
    <row r="104" spans="1:8">
      <c r="G104" s="121"/>
    </row>
    <row r="105" spans="1:8">
      <c r="A105" s="99" t="s">
        <v>22</v>
      </c>
      <c r="G105" s="121"/>
    </row>
    <row r="106" spans="1:8">
      <c r="G106" s="121"/>
    </row>
    <row r="107" spans="1:8">
      <c r="B107" s="89" t="str">
        <f>'Input Summary'!D171</f>
        <v>Cost of Land:</v>
      </c>
      <c r="G107" s="121">
        <f ca="1">'Input Summary'!E171*'Cost Summary'!$H$103</f>
        <v>641764.12204054568</v>
      </c>
    </row>
    <row r="108" spans="1:8">
      <c r="B108" s="89" t="str">
        <f>'Input Summary'!D172</f>
        <v>Cost of Royalties:</v>
      </c>
      <c r="G108" s="121">
        <f>'Input Summary'!E172</f>
        <v>0</v>
      </c>
    </row>
    <row r="109" spans="1:8">
      <c r="B109" s="89" t="str">
        <f>'Input Summary'!D173</f>
        <v>Cost of Plant Start-Up:</v>
      </c>
      <c r="G109" s="121">
        <f ca="1">'Input Summary'!E173*'Cost Summary'!$H$103</f>
        <v>4813230.9153040918</v>
      </c>
    </row>
    <row r="110" spans="1:8">
      <c r="G110" s="121"/>
    </row>
    <row r="111" spans="1:8">
      <c r="B111" s="89" t="s">
        <v>240</v>
      </c>
      <c r="G111" s="121"/>
      <c r="H111" s="132">
        <f ca="1">SUM(G107:G109,H101)</f>
        <v>37543201.139371917</v>
      </c>
    </row>
    <row r="112" spans="1:8">
      <c r="B112" s="89" t="s">
        <v>69</v>
      </c>
      <c r="H112" s="133">
        <f>'Input Summary'!C5</f>
        <v>1</v>
      </c>
    </row>
    <row r="113" spans="1:10" ht="15">
      <c r="B113" s="99" t="s">
        <v>22</v>
      </c>
      <c r="G113" s="121"/>
      <c r="H113" s="123">
        <f ca="1">H111*H112</f>
        <v>37543201.139371917</v>
      </c>
    </row>
    <row r="116" spans="1:10" s="129" customFormat="1" ht="15.75">
      <c r="A116" s="128" t="s">
        <v>120</v>
      </c>
      <c r="B116" s="128"/>
      <c r="C116" s="128"/>
      <c r="D116" s="128"/>
      <c r="E116" s="128"/>
      <c r="F116" s="128"/>
      <c r="G116" s="128"/>
      <c r="H116" s="128"/>
      <c r="I116" s="128"/>
      <c r="J116" s="128"/>
    </row>
    <row r="118" spans="1:10">
      <c r="G118" s="98">
        <f>'General Input'!D11+'General Input'!D7+'General Input'!D8-1</f>
        <v>2025</v>
      </c>
      <c r="H118" s="98">
        <f>G118+1</f>
        <v>2026</v>
      </c>
      <c r="I118" s="98">
        <f>H118+1</f>
        <v>2027</v>
      </c>
    </row>
    <row r="119" spans="1:10">
      <c r="D119" s="87" t="str">
        <f>'Var Costs &amp; WC'!B13</f>
        <v>Accounts Receivable</v>
      </c>
      <c r="G119" s="121">
        <f>VLOOKUP(G$118+1,'Input Summary'!$A$22:$E$43,5)*'Var Costs &amp; WC'!$J13*'Var Costs &amp; WC'!$K13</f>
        <v>10000890.410958903</v>
      </c>
      <c r="H119" s="121">
        <f>VLOOKUP(H$118+1,'Input Summary'!$A$22:$E$43,5)*'Var Costs &amp; WC'!$J13*'Var Costs &amp; WC'!$K13-G119</f>
        <v>5000445.2054794524</v>
      </c>
      <c r="I119" s="121">
        <f>VLOOKUP(I$118+1,'Input Summary'!$A$22:$E$43,5)*'Var Costs &amp; WC'!$J13*'Var Costs &amp; WC'!$K13-H119-G119</f>
        <v>5000445.2054794505</v>
      </c>
    </row>
    <row r="120" spans="1:10">
      <c r="D120" s="87" t="s">
        <v>204</v>
      </c>
      <c r="G120" s="121">
        <f ca="1">VLOOKUP(G$118+1,'Input Summary'!$A$22:$E$43,5)*'Var Costs &amp; WC'!$J14*'Var Costs &amp; WC'!$K14</f>
        <v>331543.4241239148</v>
      </c>
      <c r="H120" s="121">
        <f ca="1">VLOOKUP(H$118+1,'Input Summary'!$A$22:$E$43,5)*'Var Costs &amp; WC'!$J14*'Var Costs &amp; WC'!$K14-G120</f>
        <v>165771.71206195746</v>
      </c>
      <c r="I120" s="121">
        <f ca="1">VLOOKUP(I$118+1,'Input Summary'!$A$22:$E$43,5)*'Var Costs &amp; WC'!$J14*'Var Costs &amp; WC'!$K14-H120-G120</f>
        <v>165771.71206195734</v>
      </c>
    </row>
    <row r="121" spans="1:10">
      <c r="D121" s="87" t="str">
        <f>'Var Costs &amp; WC'!B15</f>
        <v>Accounts Payable</v>
      </c>
      <c r="G121" s="121">
        <f ca="1">VLOOKUP(G$118+1,'Input Summary'!$A$22:$E$43,5)*'Var Costs &amp; WC'!$J15*'Var Costs &amp; WC'!$K15</f>
        <v>-1440620.5319192577</v>
      </c>
      <c r="H121" s="121">
        <f ca="1">VLOOKUP(H$118+1,'Input Summary'!$A$22:$E$43,5)*'Var Costs &amp; WC'!$J15*'Var Costs &amp; WC'!$K15-G121</f>
        <v>-720310.26595962886</v>
      </c>
      <c r="I121" s="121">
        <f ca="1">VLOOKUP(I$118+1,'Input Summary'!$A$22:$E$43,5)*'Var Costs &amp; WC'!$J15*'Var Costs &amp; WC'!$K15-H121-G121</f>
        <v>-720310.26595962886</v>
      </c>
    </row>
    <row r="122" spans="1:10">
      <c r="D122" s="87" t="str">
        <f>'Var Costs &amp; WC'!B16</f>
        <v>Lithium Inventory</v>
      </c>
      <c r="G122" s="121">
        <f>VLOOKUP(G$118+1,'Input Summary'!$A$22:$E$43,5)*'Var Costs &amp; WC'!$J16*'Var Costs &amp; WC'!$K16</f>
        <v>11518974.657534245</v>
      </c>
      <c r="H122" s="121">
        <f>VLOOKUP(H$118+1,'Input Summary'!$A$22:$E$43,5)*'Var Costs &amp; WC'!$J16*'Var Costs &amp; WC'!$K16-G122</f>
        <v>5759487.3287671246</v>
      </c>
      <c r="I122" s="121">
        <f>VLOOKUP(I$118+1,'Input Summary'!$A$22:$E$43,5)*'Var Costs &amp; WC'!$J16*'Var Costs &amp; WC'!$K16-H122-G122</f>
        <v>5759487.3287671208</v>
      </c>
    </row>
    <row r="123" spans="1:10">
      <c r="D123" s="87" t="str">
        <f>'Var Costs &amp; WC'!B17</f>
        <v>Raw Materials</v>
      </c>
      <c r="G123" s="134">
        <f ca="1">VLOOKUP(G$118+1,'Input Summary'!$A$22:$E$43,5)*'Var Costs &amp; WC'!$J17*'Var Costs &amp; WC'!$K17</f>
        <v>627706.80143835605</v>
      </c>
      <c r="H123" s="134">
        <f ca="1">VLOOKUP(H$118+1,'Input Summary'!$A$22:$E$43,5)*'Var Costs &amp; WC'!$J17*'Var Costs &amp; WC'!$K17-G123</f>
        <v>313853.40071917803</v>
      </c>
      <c r="I123" s="134">
        <f ca="1">VLOOKUP(I$118+1,'Input Summary'!$A$22:$E$43,5)*'Var Costs &amp; WC'!$J17*'Var Costs &amp; WC'!$K17-H123-G123</f>
        <v>313853.40071917803</v>
      </c>
    </row>
    <row r="124" spans="1:10">
      <c r="D124" s="89" t="s">
        <v>1</v>
      </c>
      <c r="G124" s="131">
        <f ca="1">SUM(G119:G123)</f>
        <v>21038494.762136165</v>
      </c>
      <c r="H124" s="131">
        <f ca="1">SUM(H119:H123)</f>
        <v>10519247.381068084</v>
      </c>
      <c r="I124" s="131">
        <f ca="1">SUM(I119:I123)</f>
        <v>10519247.381068079</v>
      </c>
    </row>
    <row r="126" spans="1:10">
      <c r="D126" s="143" t="str">
        <f>"Present Value at "&amp;'General Input'!D38*100&amp;"%"</f>
        <v>Present Value at 15%</v>
      </c>
      <c r="E126" s="143"/>
      <c r="F126" s="143"/>
      <c r="G126" s="144">
        <f ca="1">G124/(1+'General Input'!$D$38)^(G118-'General Input'!$D$11)</f>
        <v>18294343.271422755</v>
      </c>
      <c r="H126" s="144">
        <f ca="1">H124/(1+'General Input'!$D$38)^(H118-'General Input'!$D$11)</f>
        <v>7954062.2919229381</v>
      </c>
      <c r="I126" s="144">
        <f ca="1">I124/(1+'General Input'!$D$38)^(I118-'General Input'!$D$11)</f>
        <v>6916575.9060199438</v>
      </c>
    </row>
    <row r="128" spans="1:10" ht="15">
      <c r="B128" s="99" t="s">
        <v>212</v>
      </c>
      <c r="G128" s="121"/>
      <c r="H128" s="123">
        <f ca="1">H113+SUM(G126:I126)</f>
        <v>70708182.608737558</v>
      </c>
    </row>
  </sheetData>
  <sheetProtection algorithmName="SHA-512" hashValue="JYWCjOK8UNZHol7xpYrZAn2OJQjHeVNNz7728wcmy9dI4vA8lp5lxeqoZqko+MKerr1zakgVKBUvLap7EZ2KoQ==" saltValue="KXPcyWDxfawGUnQ4S+xZ6g==" spinCount="100000" sheet="1" objects="1" scenarios="1"/>
  <pageMargins left="0.7" right="0.7" top="0.75" bottom="0.75" header="0.3" footer="0.3"/>
  <pageSetup scale="76" fitToHeight="4" orientation="portrait" r:id="rId1"/>
  <headerFooter>
    <oddHeader>&amp;C&amp;"Calibri"&amp;10&amp;K000000 Public&amp;1#_x000D_</oddHeader>
    <oddFooter>&amp;C_x000D_&amp;1#&amp;"Calibri"&amp;10&amp;K000000 Public</oddFooter>
  </headerFooter>
  <rowBreaks count="1" manualBreakCount="1">
    <brk id="7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0B0F0-B474-4A02-82E7-CC1122B79F8F}">
  <sheetPr>
    <tabColor rgb="FF00B050"/>
  </sheetPr>
  <dimension ref="A1:F101"/>
  <sheetViews>
    <sheetView workbookViewId="0">
      <selection activeCell="I48" sqref="I48"/>
    </sheetView>
  </sheetViews>
  <sheetFormatPr defaultColWidth="9.140625" defaultRowHeight="12.75"/>
  <cols>
    <col min="1" max="1" width="19.7109375" style="10" customWidth="1"/>
    <col min="2" max="2" width="10.7109375" style="10" customWidth="1"/>
    <col min="3" max="3" width="28.7109375" style="10" customWidth="1"/>
    <col min="4" max="16384" width="9.140625" style="10"/>
  </cols>
  <sheetData>
    <row r="1" spans="1:6">
      <c r="A1" s="10" t="s">
        <v>357</v>
      </c>
    </row>
    <row r="3" spans="1:6">
      <c r="A3" s="10" t="s">
        <v>345</v>
      </c>
      <c r="B3" s="19">
        <f>'Input Summary'!C15</f>
        <v>5000</v>
      </c>
      <c r="C3" s="10" t="str">
        <f>'Input Summary'!D15</f>
        <v>tonnes of Lithium per year</v>
      </c>
    </row>
    <row r="4" spans="1:6">
      <c r="A4" s="10" t="s">
        <v>346</v>
      </c>
      <c r="B4" s="10">
        <f>B3*'General Input'!D27</f>
        <v>5000</v>
      </c>
      <c r="C4" s="10" t="str">
        <f>C3</f>
        <v>tonnes of Lithium per year</v>
      </c>
    </row>
    <row r="5" spans="1:6">
      <c r="A5" s="10" t="s">
        <v>64</v>
      </c>
      <c r="B5" s="196">
        <f ca="1">'Cost Summary'!H103</f>
        <v>32088206.102027282</v>
      </c>
    </row>
    <row r="6" spans="1:6">
      <c r="A6" s="10" t="s">
        <v>22</v>
      </c>
      <c r="B6" s="196">
        <f ca="1">'Cost Summary'!H113</f>
        <v>37543201.139371917</v>
      </c>
    </row>
    <row r="7" spans="1:6">
      <c r="A7" s="10" t="s">
        <v>354</v>
      </c>
      <c r="B7" s="196">
        <f ca="1">SUM('Cost Summary'!G124:I124)</f>
        <v>42076989.52427233</v>
      </c>
    </row>
    <row r="9" spans="1:6">
      <c r="A9" s="11" t="s">
        <v>314</v>
      </c>
    </row>
    <row r="11" spans="1:6">
      <c r="A11" s="11" t="s">
        <v>178</v>
      </c>
      <c r="B11" s="12" t="s">
        <v>315</v>
      </c>
      <c r="D11" s="12" t="s">
        <v>8</v>
      </c>
      <c r="F11" s="12" t="str">
        <f>"Cost/"&amp;'General Input'!D46</f>
        <v>Cost/tonnes</v>
      </c>
    </row>
    <row r="12" spans="1:6">
      <c r="A12" s="10" t="str">
        <f>IF('General Input'!B61&lt;&gt;"",'General Input'!B61,"Please hide unused rows")</f>
        <v>H2SO4</v>
      </c>
      <c r="B12" s="189">
        <f>IF('General Input'!B61&lt;&gt;"",'General Input'!D61,"")</f>
        <v>3533.86</v>
      </c>
      <c r="C12" s="10" t="str">
        <f>IF('General Input'!B61&lt;&gt;"",'General Input'!E61,"")</f>
        <v>kg per tonnes of Lithium</v>
      </c>
      <c r="D12" s="190">
        <f>IF('General Input'!B61&lt;&gt;"",'General Input'!F61,"")</f>
        <v>0.17960000000000001</v>
      </c>
      <c r="E12" s="10" t="str">
        <f>IF('General Input'!B61&lt;&gt;"",'General Input'!G61,"")</f>
        <v>per kg</v>
      </c>
      <c r="F12" s="190">
        <f>IF('General Input'!B61&lt;&gt;"",B12*D12,"")</f>
        <v>634.68125600000008</v>
      </c>
    </row>
    <row r="13" spans="1:6">
      <c r="A13" s="10" t="str">
        <f>IF('General Input'!B62&lt;&gt;"",'General Input'!B62,"Please hide unused rows")</f>
        <v>NH3</v>
      </c>
      <c r="B13" s="189">
        <f>IF('General Input'!B62&lt;&gt;"",'General Input'!D62,"")</f>
        <v>2449.5700000000002</v>
      </c>
      <c r="C13" s="10" t="str">
        <f>IF('General Input'!B62&lt;&gt;"",'General Input'!E62,"")</f>
        <v>kg per tonnes of Lithium</v>
      </c>
      <c r="D13" s="190">
        <f>IF('General Input'!B62&lt;&gt;"",'General Input'!F62,"")</f>
        <v>0.71819999999999995</v>
      </c>
      <c r="E13" s="10" t="str">
        <f>IF('General Input'!B62&lt;&gt;"",'General Input'!G62,"")</f>
        <v>per kg</v>
      </c>
      <c r="F13" s="190">
        <f>IF('General Input'!B62&lt;&gt;"",B13*D13,"")</f>
        <v>1759.281174</v>
      </c>
    </row>
    <row r="14" spans="1:6">
      <c r="A14" s="10" t="str">
        <f>IF('General Input'!B63&lt;&gt;"",'General Input'!B63,"Please hide unused rows")</f>
        <v>APS</v>
      </c>
      <c r="B14" s="189">
        <f>IF('General Input'!B63&lt;&gt;"",'General Input'!D63,"")</f>
        <v>4373.49</v>
      </c>
      <c r="C14" s="10" t="str">
        <f>IF('General Input'!B63&lt;&gt;"",'General Input'!E63,"")</f>
        <v>kg per tonnes of Lithium</v>
      </c>
      <c r="D14" s="190">
        <f>IF('General Input'!B63&lt;&gt;"",'General Input'!F63,"")</f>
        <v>0.84960000000000002</v>
      </c>
      <c r="E14" s="10" t="str">
        <f>IF('General Input'!B63&lt;&gt;"",'General Input'!G63,"")</f>
        <v>per kg</v>
      </c>
      <c r="F14" s="190">
        <f>IF('General Input'!B63&lt;&gt;"",B14*D14,"")</f>
        <v>3715.7171039999998</v>
      </c>
    </row>
    <row r="15" spans="1:6">
      <c r="A15" s="10" t="str">
        <f>IF('General Input'!B64&lt;&gt;"",'General Input'!B64,"Please hide unused rows")</f>
        <v>Please hide unused rows</v>
      </c>
      <c r="B15" s="189" t="str">
        <f>IF('General Input'!B64&lt;&gt;"",'General Input'!D64,"")</f>
        <v/>
      </c>
      <c r="C15" s="10" t="str">
        <f>IF('General Input'!B64&lt;&gt;"",'General Input'!E64,"")</f>
        <v/>
      </c>
      <c r="D15" s="190" t="str">
        <f>IF('General Input'!B64&lt;&gt;"",'General Input'!F64,"")</f>
        <v/>
      </c>
      <c r="E15" s="10" t="str">
        <f>IF('General Input'!B64&lt;&gt;"",'General Input'!G64,"")</f>
        <v/>
      </c>
      <c r="F15" s="190" t="str">
        <f>IF('General Input'!B64&lt;&gt;"",B15*D15,"")</f>
        <v/>
      </c>
    </row>
    <row r="16" spans="1:6">
      <c r="A16" s="10" t="str">
        <f>IF('General Input'!B65&lt;&gt;"",'General Input'!B65,"Please hide unused rows")</f>
        <v>Please hide unused rows</v>
      </c>
      <c r="B16" s="189" t="str">
        <f>IF('General Input'!B65&lt;&gt;"",'General Input'!D65,"")</f>
        <v/>
      </c>
      <c r="C16" s="10" t="str">
        <f>IF('General Input'!B65&lt;&gt;"",'General Input'!E65,"")</f>
        <v/>
      </c>
      <c r="D16" s="190" t="str">
        <f>IF('General Input'!B65&lt;&gt;"",'General Input'!F65,"")</f>
        <v/>
      </c>
      <c r="E16" s="10" t="str">
        <f>IF('General Input'!B65&lt;&gt;"",'General Input'!G65,"")</f>
        <v/>
      </c>
      <c r="F16" s="190" t="str">
        <f>IF('General Input'!B65&lt;&gt;"",B16*D16,"")</f>
        <v/>
      </c>
    </row>
    <row r="17" spans="1:6">
      <c r="A17" s="10" t="str">
        <f>IF('General Input'!B66&lt;&gt;"",'General Input'!B66,"Please hide unused rows")</f>
        <v>Please hide unused rows</v>
      </c>
      <c r="B17" s="189" t="str">
        <f>IF('General Input'!B66&lt;&gt;"",'General Input'!D66,"")</f>
        <v/>
      </c>
      <c r="C17" s="10" t="str">
        <f>IF('General Input'!B66&lt;&gt;"",'General Input'!E66,"")</f>
        <v/>
      </c>
      <c r="D17" s="190" t="str">
        <f>IF('General Input'!B66&lt;&gt;"",'General Input'!F66,"")</f>
        <v/>
      </c>
      <c r="E17" s="10" t="str">
        <f>IF('General Input'!B66&lt;&gt;"",'General Input'!G66,"")</f>
        <v/>
      </c>
      <c r="F17" s="190" t="str">
        <f>IF('General Input'!B66&lt;&gt;"",B17*D17,"")</f>
        <v/>
      </c>
    </row>
    <row r="18" spans="1:6">
      <c r="A18" s="10" t="str">
        <f>IF('General Input'!B67&lt;&gt;"",'General Input'!B67,"Please hide unused rows")</f>
        <v>Please hide unused rows</v>
      </c>
      <c r="B18" s="189" t="str">
        <f>IF('General Input'!B67&lt;&gt;"",'General Input'!D67,"")</f>
        <v/>
      </c>
      <c r="C18" s="10" t="str">
        <f>IF('General Input'!B67&lt;&gt;"",'General Input'!E67,"")</f>
        <v/>
      </c>
      <c r="D18" s="190" t="str">
        <f>IF('General Input'!B67&lt;&gt;"",'General Input'!F67,"")</f>
        <v/>
      </c>
      <c r="E18" s="10" t="str">
        <f>IF('General Input'!B67&lt;&gt;"",'General Input'!G67,"")</f>
        <v/>
      </c>
      <c r="F18" s="190" t="str">
        <f>IF('General Input'!B67&lt;&gt;"",B18*D18,"")</f>
        <v/>
      </c>
    </row>
    <row r="19" spans="1:6">
      <c r="A19" s="10" t="str">
        <f>IF('General Input'!B68&lt;&gt;"",'General Input'!B68,"Please hide unused rows")</f>
        <v>Please hide unused rows</v>
      </c>
      <c r="B19" s="189" t="str">
        <f>IF('General Input'!B68&lt;&gt;"",'General Input'!D68,"")</f>
        <v/>
      </c>
      <c r="C19" s="10" t="str">
        <f>IF('General Input'!B68&lt;&gt;"",'General Input'!E68,"")</f>
        <v/>
      </c>
      <c r="D19" s="190" t="str">
        <f>IF('General Input'!B68&lt;&gt;"",'General Input'!F68,"")</f>
        <v/>
      </c>
      <c r="E19" s="10" t="str">
        <f>IF('General Input'!B68&lt;&gt;"",'General Input'!G68,"")</f>
        <v/>
      </c>
      <c r="F19" s="190" t="str">
        <f>IF('General Input'!B68&lt;&gt;"",B19*D19,"")</f>
        <v/>
      </c>
    </row>
    <row r="20" spans="1:6">
      <c r="A20" s="10" t="str">
        <f>IF('General Input'!B69&lt;&gt;"",'General Input'!B69,"Please hide unused rows")</f>
        <v>Please hide unused rows</v>
      </c>
      <c r="B20" s="189" t="str">
        <f>IF('General Input'!B69&lt;&gt;"",'General Input'!D69,"")</f>
        <v/>
      </c>
      <c r="C20" s="10" t="str">
        <f>IF('General Input'!B69&lt;&gt;"",'General Input'!E69,"")</f>
        <v/>
      </c>
      <c r="D20" s="190" t="str">
        <f>IF('General Input'!B69&lt;&gt;"",'General Input'!F69,"")</f>
        <v/>
      </c>
      <c r="E20" s="10" t="str">
        <f>IF('General Input'!B69&lt;&gt;"",'General Input'!G69,"")</f>
        <v/>
      </c>
      <c r="F20" s="190" t="str">
        <f>IF('General Input'!B69&lt;&gt;"",B20*D20,"")</f>
        <v/>
      </c>
    </row>
    <row r="21" spans="1:6">
      <c r="A21" s="10" t="str">
        <f>IF('General Input'!B70&lt;&gt;"",'General Input'!B70,"Please hide unused rows")</f>
        <v>Please hide unused rows</v>
      </c>
      <c r="B21" s="189" t="str">
        <f>IF('General Input'!B70&lt;&gt;"",'General Input'!D70,"")</f>
        <v/>
      </c>
      <c r="C21" s="10" t="str">
        <f>IF('General Input'!B70&lt;&gt;"",'General Input'!E70,"")</f>
        <v/>
      </c>
      <c r="D21" s="190" t="str">
        <f>IF('General Input'!B70&lt;&gt;"",'General Input'!F70,"")</f>
        <v/>
      </c>
      <c r="E21" s="10" t="str">
        <f>IF('General Input'!B70&lt;&gt;"",'General Input'!G70,"")</f>
        <v/>
      </c>
      <c r="F21" s="190" t="str">
        <f>IF('General Input'!B70&lt;&gt;"",B21*D21,"")</f>
        <v/>
      </c>
    </row>
    <row r="22" spans="1:6">
      <c r="A22" s="18" t="s">
        <v>316</v>
      </c>
      <c r="D22" s="190"/>
      <c r="F22" s="199">
        <f>SUM(F12:F21)</f>
        <v>6109.6795339999999</v>
      </c>
    </row>
    <row r="23" spans="1:6">
      <c r="D23" s="190"/>
    </row>
    <row r="24" spans="1:6">
      <c r="A24" s="11" t="s">
        <v>317</v>
      </c>
      <c r="B24" s="12" t="s">
        <v>315</v>
      </c>
      <c r="D24" s="195" t="s">
        <v>8</v>
      </c>
      <c r="F24" s="12" t="s">
        <v>325</v>
      </c>
    </row>
    <row r="25" spans="1:6">
      <c r="A25" s="10" t="str">
        <f>IF('General Input'!B76&lt;&gt;"",'General Input'!B76,"Please hide unused rows")</f>
        <v>Coproduct:1</v>
      </c>
      <c r="B25" s="189">
        <f>IF('General Input'!B76&lt;&gt;"",'General Input'!D76,"")</f>
        <v>0</v>
      </c>
      <c r="C25" s="10" t="str">
        <f>IF('General Input'!B76&lt;&gt;"",'General Input'!E76,"")</f>
        <v>lb per tonnes of Lithium</v>
      </c>
      <c r="D25" s="190">
        <f>IF('General Input'!B76&lt;&gt;"",'General Input'!F76,"")</f>
        <v>1</v>
      </c>
      <c r="E25" s="10" t="str">
        <f>IF('General Input'!B76&lt;&gt;"",'General Input'!G76,"")</f>
        <v>per lb</v>
      </c>
      <c r="F25" s="190">
        <f>IF('General Input'!B76&lt;&gt;"",-B25*D25,"")</f>
        <v>0</v>
      </c>
    </row>
    <row r="26" spans="1:6">
      <c r="A26" s="10" t="str">
        <f>IF('General Input'!B77&lt;&gt;"",'General Input'!B77,"Please hide unused rows")</f>
        <v>Waste1</v>
      </c>
      <c r="B26" s="189">
        <f>IF('General Input'!B77&lt;&gt;"",'General Input'!D77,"")</f>
        <v>0</v>
      </c>
      <c r="C26" s="10" t="str">
        <f>IF('General Input'!B77&lt;&gt;"",'General Input'!E77,"")</f>
        <v>lb per tonnes of Lithium</v>
      </c>
      <c r="D26" s="190">
        <f>IF('General Input'!B77&lt;&gt;"",'General Input'!F77,"")</f>
        <v>-2</v>
      </c>
      <c r="E26" s="10" t="str">
        <f>IF('General Input'!B77&lt;&gt;"",'General Input'!G77,"")</f>
        <v>per lb</v>
      </c>
      <c r="F26" s="190">
        <f>IF('General Input'!B77&lt;&gt;"",-B26*D26,"")</f>
        <v>0</v>
      </c>
    </row>
    <row r="27" spans="1:6">
      <c r="A27" s="10" t="str">
        <f>IF('General Input'!B78&lt;&gt;"",'General Input'!B78,"Please hide unused rows")</f>
        <v>Please hide unused rows</v>
      </c>
      <c r="B27" s="189" t="str">
        <f>IF('General Input'!B78&lt;&gt;"",'General Input'!D78,"")</f>
        <v/>
      </c>
      <c r="C27" s="10" t="str">
        <f>IF('General Input'!B78&lt;&gt;"",'General Input'!E78,"")</f>
        <v/>
      </c>
      <c r="D27" s="190" t="str">
        <f>IF('General Input'!B78&lt;&gt;"",'General Input'!F78,"")</f>
        <v/>
      </c>
      <c r="E27" s="10" t="str">
        <f>IF('General Input'!B78&lt;&gt;"",'General Input'!G78,"")</f>
        <v/>
      </c>
      <c r="F27" s="190" t="str">
        <f>IF('General Input'!B78&lt;&gt;"",-B27*D27,"")</f>
        <v/>
      </c>
    </row>
    <row r="28" spans="1:6">
      <c r="A28" s="10" t="str">
        <f>IF('General Input'!B79&lt;&gt;"",'General Input'!B79,"Please hide unused rows")</f>
        <v>Please hide unused rows</v>
      </c>
      <c r="B28" s="189" t="str">
        <f>IF('General Input'!B79&lt;&gt;"",'General Input'!D79,"")</f>
        <v/>
      </c>
      <c r="C28" s="10" t="str">
        <f>IF('General Input'!B79&lt;&gt;"",'General Input'!E79,"")</f>
        <v/>
      </c>
      <c r="D28" s="190" t="str">
        <f>IF('General Input'!B79&lt;&gt;"",'General Input'!F79,"")</f>
        <v/>
      </c>
      <c r="E28" s="10" t="str">
        <f>IF('General Input'!B79&lt;&gt;"",'General Input'!G79,"")</f>
        <v/>
      </c>
      <c r="F28" s="190" t="str">
        <f>IF('General Input'!B79&lt;&gt;"",-B28*D28,"")</f>
        <v/>
      </c>
    </row>
    <row r="29" spans="1:6">
      <c r="A29" s="10" t="str">
        <f>IF('General Input'!B80&lt;&gt;"",'General Input'!B80,"Please hide unused rows")</f>
        <v>Please hide unused rows</v>
      </c>
      <c r="B29" s="189" t="str">
        <f>IF('General Input'!B80&lt;&gt;"",'General Input'!D80,"")</f>
        <v/>
      </c>
      <c r="C29" s="10" t="str">
        <f>IF('General Input'!B80&lt;&gt;"",'General Input'!E80,"")</f>
        <v/>
      </c>
      <c r="D29" s="190" t="str">
        <f>IF('General Input'!B80&lt;&gt;"",'General Input'!F80,"")</f>
        <v/>
      </c>
      <c r="E29" s="10" t="str">
        <f>IF('General Input'!B80&lt;&gt;"",'General Input'!G80,"")</f>
        <v/>
      </c>
      <c r="F29" s="190" t="str">
        <f>IF('General Input'!B80&lt;&gt;"",-B29*D29,"")</f>
        <v/>
      </c>
    </row>
    <row r="30" spans="1:6">
      <c r="A30" s="10" t="str">
        <f>IF('General Input'!B81&lt;&gt;"",'General Input'!B81,"Please hide unused rows")</f>
        <v>Please hide unused rows</v>
      </c>
      <c r="B30" s="189" t="str">
        <f>IF('General Input'!B81&lt;&gt;"",'General Input'!D81,"")</f>
        <v/>
      </c>
      <c r="C30" s="10" t="str">
        <f>IF('General Input'!B81&lt;&gt;"",'General Input'!E81,"")</f>
        <v/>
      </c>
      <c r="D30" s="190" t="str">
        <f>IF('General Input'!B81&lt;&gt;"",'General Input'!F81,"")</f>
        <v/>
      </c>
      <c r="E30" s="10" t="str">
        <f>IF('General Input'!B81&lt;&gt;"",'General Input'!G81,"")</f>
        <v/>
      </c>
      <c r="F30" s="190" t="str">
        <f>IF('General Input'!B81&lt;&gt;"",-B30*D30,"")</f>
        <v/>
      </c>
    </row>
    <row r="31" spans="1:6">
      <c r="A31" s="10" t="str">
        <f>IF('General Input'!B82&lt;&gt;"",'General Input'!B82,"Please hide unused rows")</f>
        <v>Please hide unused rows</v>
      </c>
      <c r="B31" s="189" t="str">
        <f>IF('General Input'!B82&lt;&gt;"",'General Input'!D82,"")</f>
        <v/>
      </c>
      <c r="C31" s="10" t="str">
        <f>IF('General Input'!B82&lt;&gt;"",'General Input'!E82,"")</f>
        <v/>
      </c>
      <c r="D31" s="190" t="str">
        <f>IF('General Input'!B82&lt;&gt;"",'General Input'!F82,"")</f>
        <v/>
      </c>
      <c r="E31" s="10" t="str">
        <f>IF('General Input'!B82&lt;&gt;"",'General Input'!G82,"")</f>
        <v/>
      </c>
      <c r="F31" s="190" t="str">
        <f>IF('General Input'!B82&lt;&gt;"",-B31*D31,"")</f>
        <v/>
      </c>
    </row>
    <row r="32" spans="1:6">
      <c r="A32" s="10" t="str">
        <f>IF('General Input'!B83&lt;&gt;"",'General Input'!B83,"Please hide unused rows")</f>
        <v>Please hide unused rows</v>
      </c>
      <c r="B32" s="189" t="str">
        <f>IF('General Input'!B83&lt;&gt;"",'General Input'!D83,"")</f>
        <v/>
      </c>
      <c r="C32" s="10" t="str">
        <f>IF('General Input'!B83&lt;&gt;"",'General Input'!E83,"")</f>
        <v/>
      </c>
      <c r="D32" s="190" t="str">
        <f>IF('General Input'!B83&lt;&gt;"",'General Input'!F83,"")</f>
        <v/>
      </c>
      <c r="E32" s="10" t="str">
        <f>IF('General Input'!B83&lt;&gt;"",'General Input'!G83,"")</f>
        <v/>
      </c>
      <c r="F32" s="190" t="str">
        <f>IF('General Input'!B83&lt;&gt;"",-B32*D32,"")</f>
        <v/>
      </c>
    </row>
    <row r="33" spans="1:6">
      <c r="A33" s="10" t="str">
        <f>IF('General Input'!B84&lt;&gt;"",'General Input'!B84,"Please hide unused rows")</f>
        <v>Please hide unused rows</v>
      </c>
      <c r="B33" s="189" t="str">
        <f>IF('General Input'!B84&lt;&gt;"",'General Input'!D84,"")</f>
        <v/>
      </c>
      <c r="C33" s="10" t="str">
        <f>IF('General Input'!B84&lt;&gt;"",'General Input'!E84,"")</f>
        <v/>
      </c>
      <c r="D33" s="190" t="str">
        <f>IF('General Input'!B84&lt;&gt;"",'General Input'!F84,"")</f>
        <v/>
      </c>
      <c r="E33" s="10" t="str">
        <f>IF('General Input'!B84&lt;&gt;"",'General Input'!G84,"")</f>
        <v/>
      </c>
      <c r="F33" s="190" t="str">
        <f>IF('General Input'!B84&lt;&gt;"",-B33*D33,"")</f>
        <v/>
      </c>
    </row>
    <row r="34" spans="1:6">
      <c r="A34" s="10" t="str">
        <f>IF('General Input'!B85&lt;&gt;"",'General Input'!B85,"Please hide unused rows")</f>
        <v>Please hide unused rows</v>
      </c>
      <c r="B34" s="189" t="str">
        <f>IF('General Input'!B85&lt;&gt;"",'General Input'!D85,"")</f>
        <v/>
      </c>
      <c r="C34" s="10" t="str">
        <f>IF('General Input'!B85&lt;&gt;"",'General Input'!E85,"")</f>
        <v/>
      </c>
      <c r="D34" s="190" t="str">
        <f>IF('General Input'!B85&lt;&gt;"",'General Input'!F85,"")</f>
        <v/>
      </c>
      <c r="E34" s="10" t="str">
        <f>IF('General Input'!B85&lt;&gt;"",'General Input'!G85,"")</f>
        <v/>
      </c>
      <c r="F34" s="190" t="str">
        <f>IF('General Input'!B85&lt;&gt;"",-B34*D34,"")</f>
        <v/>
      </c>
    </row>
    <row r="35" spans="1:6">
      <c r="A35" s="18" t="s">
        <v>320</v>
      </c>
      <c r="D35" s="190"/>
      <c r="F35" s="199">
        <f>SUM(F25:F34)</f>
        <v>0</v>
      </c>
    </row>
    <row r="36" spans="1:6">
      <c r="D36" s="190"/>
    </row>
    <row r="37" spans="1:6">
      <c r="A37" s="11" t="s">
        <v>189</v>
      </c>
      <c r="B37" s="12" t="s">
        <v>315</v>
      </c>
      <c r="D37" s="195" t="s">
        <v>8</v>
      </c>
      <c r="F37" s="12" t="str">
        <f>F11</f>
        <v>Cost/tonnes</v>
      </c>
    </row>
    <row r="38" spans="1:6">
      <c r="A38" s="10" t="str">
        <f>IF('General Input'!B91&lt;&gt;"",'General Input'!B91,"Please hide unused rows")</f>
        <v>High Pressure Steam</v>
      </c>
      <c r="B38" s="10">
        <f>IF('General Input'!B91&lt;&gt;"",'General Input'!D91,"")</f>
        <v>0</v>
      </c>
      <c r="C38" s="10" t="str">
        <f>IF('General Input'!B91&lt;&gt;"",'General Input'!E91,"")</f>
        <v>lb per tonnes of Lithium</v>
      </c>
      <c r="D38" s="190">
        <f>IF('General Input'!B91&lt;&gt;"",'General Input'!F91,"")</f>
        <v>0</v>
      </c>
      <c r="E38" s="10" t="str">
        <f>IF('General Input'!B91&lt;&gt;"",'General Input'!G91,"")</f>
        <v>per lb</v>
      </c>
      <c r="F38" s="190">
        <f>IF('General Input'!B91&lt;&gt;"",B38*D38,"")</f>
        <v>0</v>
      </c>
    </row>
    <row r="39" spans="1:6">
      <c r="A39" s="10" t="str">
        <f>IF('General Input'!B92&lt;&gt;"",'General Input'!B92,"Please hide unused rows")</f>
        <v>Low Pressure Steam</v>
      </c>
      <c r="B39" s="10">
        <f>IF('General Input'!B92&lt;&gt;"",'General Input'!D92,"")</f>
        <v>35047</v>
      </c>
      <c r="C39" s="10" t="str">
        <f>IF('General Input'!B92&lt;&gt;"",'General Input'!E92,"")</f>
        <v>kg per tonnes of Lithium</v>
      </c>
      <c r="D39" s="190">
        <f>IF('General Input'!B92&lt;&gt;"",'General Input'!F92,"")</f>
        <v>2.1587301587301589E-2</v>
      </c>
      <c r="E39" s="10" t="str">
        <f>IF('General Input'!B92&lt;&gt;"",'General Input'!G92,"")</f>
        <v>per kg</v>
      </c>
      <c r="F39" s="190">
        <f>IF('General Input'!B92&lt;&gt;"",B39*D39,"")</f>
        <v>756.57015873015882</v>
      </c>
    </row>
    <row r="40" spans="1:6">
      <c r="A40" s="10" t="str">
        <f>IF('General Input'!B93&lt;&gt;"",'General Input'!B93,"Please hide unused rows")</f>
        <v>Process Water</v>
      </c>
      <c r="B40" s="10">
        <f>IF('General Input'!B93&lt;&gt;"",'General Input'!D93,"")</f>
        <v>0</v>
      </c>
      <c r="C40" s="10" t="str">
        <f>IF('General Input'!B93&lt;&gt;"",'General Input'!E93,"")</f>
        <v>gal per tonnes of Lithium</v>
      </c>
      <c r="D40" s="190">
        <f>IF('General Input'!B93&lt;&gt;"",'General Input'!F93,"")</f>
        <v>0</v>
      </c>
      <c r="E40" s="10" t="str">
        <f>IF('General Input'!B93&lt;&gt;"",'General Input'!G93,"")</f>
        <v>per gal</v>
      </c>
      <c r="F40" s="190">
        <f>IF('General Input'!B93&lt;&gt;"",B40*D40,"")</f>
        <v>0</v>
      </c>
    </row>
    <row r="41" spans="1:6">
      <c r="A41" s="10" t="str">
        <f>IF('General Input'!B94&lt;&gt;"",'General Input'!B94,"Please hide unused rows")</f>
        <v>Cooling Water</v>
      </c>
      <c r="B41" s="10">
        <f>IF('General Input'!B94&lt;&gt;"",'General Input'!D94,"")</f>
        <v>0</v>
      </c>
      <c r="C41" s="10" t="str">
        <f>IF('General Input'!B94&lt;&gt;"",'General Input'!E94,"")</f>
        <v>lb per tonnes of Lithium</v>
      </c>
      <c r="D41" s="190">
        <f>IF('General Input'!B94&lt;&gt;"",'General Input'!F94,"")</f>
        <v>0</v>
      </c>
      <c r="E41" s="10" t="str">
        <f>IF('General Input'!B94&lt;&gt;"",'General Input'!G94,"")</f>
        <v>per lb</v>
      </c>
      <c r="F41" s="190">
        <f>IF('General Input'!B94&lt;&gt;"",B41*D41,"")</f>
        <v>0</v>
      </c>
    </row>
    <row r="42" spans="1:6">
      <c r="A42" s="10" t="str">
        <f>IF('General Input'!B95&lt;&gt;"",'General Input'!B95,"Please hide unused rows")</f>
        <v>Electricity</v>
      </c>
      <c r="B42" s="10">
        <f>IF('General Input'!B95&lt;&gt;"",'General Input'!D95,"")</f>
        <v>262.37</v>
      </c>
      <c r="C42" s="10" t="str">
        <f>IF('General Input'!B95&lt;&gt;"",'General Input'!E95,"")</f>
        <v>kWh per tonnes of Lithium</v>
      </c>
      <c r="D42" s="190">
        <f>IF('General Input'!B95&lt;&gt;"",'General Input'!F95,"")</f>
        <v>9.876543209876544E-2</v>
      </c>
      <c r="E42" s="10" t="str">
        <f>IF('General Input'!B95&lt;&gt;"",'General Input'!G95,"")</f>
        <v>per kWh</v>
      </c>
      <c r="F42" s="190">
        <f>IF('General Input'!B95&lt;&gt;"",B42*D42,"")</f>
        <v>25.913086419753089</v>
      </c>
    </row>
    <row r="43" spans="1:6">
      <c r="A43" s="10" t="str">
        <f>IF('General Input'!B96&lt;&gt;"",'General Input'!B96,"Please hide unused rows")</f>
        <v>Refridgeration</v>
      </c>
      <c r="B43" s="10">
        <f>IF('General Input'!B96&lt;&gt;"",'General Input'!D96,"")</f>
        <v>21.06</v>
      </c>
      <c r="C43" s="10" t="str">
        <f>IF('General Input'!B96&lt;&gt;"",'General Input'!E96,"")</f>
        <v>ton-day per tonnes of Lithium</v>
      </c>
      <c r="D43" s="190">
        <f>IF('General Input'!B96&lt;&gt;"",'General Input'!F96,"")</f>
        <v>5.6437389770723101</v>
      </c>
      <c r="E43" s="10" t="str">
        <f>IF('General Input'!B96&lt;&gt;"",'General Input'!G96,"")</f>
        <v>per ton-day</v>
      </c>
      <c r="F43" s="190">
        <f>IF('General Input'!B96&lt;&gt;"",B43*D43,"")</f>
        <v>118.85714285714285</v>
      </c>
    </row>
    <row r="44" spans="1:6">
      <c r="A44" s="10" t="str">
        <f>IF('General Input'!B97&lt;&gt;"",'General Input'!B97,"Please hide unused rows")</f>
        <v>Please hide unused rows</v>
      </c>
      <c r="B44" s="10" t="str">
        <f>IF('General Input'!B97&lt;&gt;"",'General Input'!D97,"")</f>
        <v/>
      </c>
      <c r="C44" s="10" t="str">
        <f>IF('General Input'!B97&lt;&gt;"",'General Input'!E97,"")</f>
        <v/>
      </c>
      <c r="D44" s="190" t="str">
        <f>IF('General Input'!B97&lt;&gt;"",'General Input'!F97,"")</f>
        <v/>
      </c>
      <c r="E44" s="10" t="str">
        <f>IF('General Input'!B97&lt;&gt;"",'General Input'!G97,"")</f>
        <v/>
      </c>
      <c r="F44" s="190" t="str">
        <f>IF('General Input'!B97&lt;&gt;"",B44*D44,"")</f>
        <v/>
      </c>
    </row>
    <row r="45" spans="1:6">
      <c r="A45" s="10" t="str">
        <f>IF('General Input'!B98&lt;&gt;"",'General Input'!B98,"Please hide unused rows")</f>
        <v>Please hide unused rows</v>
      </c>
      <c r="B45" s="10" t="str">
        <f>IF('General Input'!B98&lt;&gt;"",'General Input'!D98,"")</f>
        <v/>
      </c>
      <c r="C45" s="10" t="str">
        <f>IF('General Input'!B98&lt;&gt;"",'General Input'!E98,"")</f>
        <v/>
      </c>
      <c r="D45" s="190" t="str">
        <f>IF('General Input'!B98&lt;&gt;"",'General Input'!F98,"")</f>
        <v/>
      </c>
      <c r="E45" s="10" t="str">
        <f>IF('General Input'!B98&lt;&gt;"",'General Input'!G98,"")</f>
        <v/>
      </c>
      <c r="F45" s="190" t="str">
        <f>IF('General Input'!B98&lt;&gt;"",B45*D45,"")</f>
        <v/>
      </c>
    </row>
    <row r="46" spans="1:6">
      <c r="A46" s="10" t="str">
        <f>IF('General Input'!B99&lt;&gt;"",'General Input'!B99,"Please hide unused rows")</f>
        <v>Please hide unused rows</v>
      </c>
      <c r="B46" s="10" t="str">
        <f>IF('General Input'!B99&lt;&gt;"",'General Input'!D99,"")</f>
        <v/>
      </c>
      <c r="C46" s="10" t="str">
        <f>IF('General Input'!B99&lt;&gt;"",'General Input'!E99,"")</f>
        <v/>
      </c>
      <c r="D46" s="190" t="str">
        <f>IF('General Input'!B99&lt;&gt;"",'General Input'!F99,"")</f>
        <v/>
      </c>
      <c r="E46" s="10" t="str">
        <f>IF('General Input'!B99&lt;&gt;"",'General Input'!G99,"")</f>
        <v/>
      </c>
      <c r="F46" s="190" t="str">
        <f>IF('General Input'!B99&lt;&gt;"",B46*D46,"")</f>
        <v/>
      </c>
    </row>
    <row r="47" spans="1:6">
      <c r="A47" s="10" t="str">
        <f>IF('General Input'!B100&lt;&gt;"",'General Input'!B100,"Please hide unused rows")</f>
        <v>Please hide unused rows</v>
      </c>
      <c r="B47" s="10" t="str">
        <f>IF('General Input'!B100&lt;&gt;"",'General Input'!D100,"")</f>
        <v/>
      </c>
      <c r="C47" s="10" t="str">
        <f>IF('General Input'!B100&lt;&gt;"",'General Input'!E100,"")</f>
        <v/>
      </c>
      <c r="D47" s="190" t="str">
        <f>IF('General Input'!B100&lt;&gt;"",'General Input'!F100,"")</f>
        <v/>
      </c>
      <c r="E47" s="10" t="str">
        <f>IF('General Input'!B100&lt;&gt;"",'General Input'!G100,"")</f>
        <v/>
      </c>
      <c r="F47" s="190" t="str">
        <f>IF('General Input'!B100&lt;&gt;"",B47*D47,"")</f>
        <v/>
      </c>
    </row>
    <row r="48" spans="1:6">
      <c r="A48" s="18" t="s">
        <v>323</v>
      </c>
      <c r="F48" s="199">
        <f>SUM(F38:F47)</f>
        <v>901.3403880070548</v>
      </c>
    </row>
    <row r="50" spans="1:6">
      <c r="A50" s="10" t="s">
        <v>297</v>
      </c>
      <c r="F50" s="190">
        <f>'General Input'!F104</f>
        <v>0</v>
      </c>
    </row>
    <row r="52" spans="1:6">
      <c r="A52" s="18" t="s">
        <v>324</v>
      </c>
      <c r="F52" s="199">
        <f>F22+F35+F48+F50</f>
        <v>7011.0199220070544</v>
      </c>
    </row>
    <row r="54" spans="1:6">
      <c r="A54" s="11" t="s">
        <v>216</v>
      </c>
    </row>
    <row r="56" spans="1:6">
      <c r="A56" s="11" t="s">
        <v>26</v>
      </c>
      <c r="D56" s="12" t="s">
        <v>351</v>
      </c>
      <c r="F56" s="12" t="str">
        <f>F11</f>
        <v>Cost/tonnes</v>
      </c>
    </row>
    <row r="57" spans="1:6">
      <c r="A57" s="87" t="s">
        <v>54</v>
      </c>
      <c r="C57" s="10" t="str">
        <f>'Fixed Costs'!E3&amp;" operators, "&amp;'Fixed Costs'!G3&amp;" shifts @ $"&amp;'Fixed Costs'!E4&amp;"/hr"</f>
        <v>2 operators, 5 shifts @ $40/hr</v>
      </c>
      <c r="D57" s="196">
        <f>'Cost Summary'!G29</f>
        <v>832000</v>
      </c>
      <c r="F57" s="190">
        <f>IFERROR(D57/'Input Summary'!$C$15/'General Input'!$D$27,"")</f>
        <v>166.4</v>
      </c>
    </row>
    <row r="58" spans="1:6">
      <c r="A58" s="87" t="s">
        <v>55</v>
      </c>
      <c r="C58" s="10" t="str">
        <f>'Fixed Costs'!E5*100&amp;"% of Direct Wages and Benefits"</f>
        <v>15% of Direct Wages and Benefits</v>
      </c>
      <c r="D58" s="196">
        <f>'Cost Summary'!G30</f>
        <v>124800</v>
      </c>
      <c r="F58" s="190">
        <f>IFERROR(D58/'Input Summary'!$C$15/'General Input'!$D$27,"")</f>
        <v>24.96</v>
      </c>
    </row>
    <row r="59" spans="1:6">
      <c r="A59" s="87" t="s">
        <v>91</v>
      </c>
      <c r="C59" s="10" t="str">
        <f>'Fixed Costs'!E6*100&amp;"% of Direct Wages and Benefits"</f>
        <v>6% of Direct Wages and Benefits</v>
      </c>
      <c r="D59" s="196">
        <f>'Cost Summary'!G31</f>
        <v>49920</v>
      </c>
      <c r="F59" s="190">
        <f>IFERROR(D59/'Input Summary'!$C$15/'General Input'!$D$27,"")</f>
        <v>9.984</v>
      </c>
    </row>
    <row r="60" spans="1:6">
      <c r="A60" s="87" t="s">
        <v>56</v>
      </c>
      <c r="C60" s="10" t="str">
        <f>'Fixed Costs'!E8&amp;" @ $"&amp;'Fixed Costs'!E7</f>
        <v>1 @ $200000</v>
      </c>
      <c r="D60" s="196">
        <f>'Cost Summary'!G32</f>
        <v>200000</v>
      </c>
      <c r="F60" s="190">
        <f>IFERROR(D60/'Input Summary'!$C$15/'General Input'!$D$27,"")</f>
        <v>40</v>
      </c>
    </row>
    <row r="61" spans="1:6">
      <c r="A61" s="87" t="s">
        <v>166</v>
      </c>
      <c r="C61" s="10" t="str">
        <f>'Fixed Costs'!E10&amp;" @ $"&amp;'Fixed Costs'!E9</f>
        <v>1 @ $250000</v>
      </c>
      <c r="D61" s="196">
        <f>'Cost Summary'!G33</f>
        <v>250000</v>
      </c>
      <c r="F61" s="190">
        <f>IFERROR(D61/'Input Summary'!$C$15/'General Input'!$D$27,"")</f>
        <v>50</v>
      </c>
    </row>
    <row r="62" spans="1:6">
      <c r="A62" s="18" t="s">
        <v>326</v>
      </c>
      <c r="D62" s="200">
        <f>SUM(D57:D61)</f>
        <v>1456720</v>
      </c>
      <c r="F62" s="199">
        <f>SUM(F57:F61)</f>
        <v>291.34400000000005</v>
      </c>
    </row>
    <row r="63" spans="1:6">
      <c r="F63" s="190"/>
    </row>
    <row r="64" spans="1:6">
      <c r="A64" s="11" t="s">
        <v>30</v>
      </c>
      <c r="F64" s="190"/>
    </row>
    <row r="65" spans="1:6">
      <c r="A65" s="117" t="s">
        <v>57</v>
      </c>
      <c r="C65" s="10" t="str">
        <f>'Fixed Costs'!E13*100&amp;"% of Total Depreciable Capital"</f>
        <v>1.5% of Total Depreciable Capital</v>
      </c>
      <c r="D65" s="196">
        <f ca="1">'Cost Summary'!G38</f>
        <v>481323.09153040923</v>
      </c>
      <c r="F65" s="190">
        <f ca="1">IFERROR(D65/'Input Summary'!$C$15/'General Input'!$D$27,"")</f>
        <v>96.264618306081843</v>
      </c>
    </row>
    <row r="66" spans="1:6">
      <c r="A66" s="117" t="s">
        <v>58</v>
      </c>
      <c r="C66" s="10" t="str">
        <f>'Fixed Costs'!E14*100&amp;"% of Maintenance Wages and Benefits"</f>
        <v>25% of Maintenance Wages and Benefits</v>
      </c>
      <c r="D66" s="196">
        <f ca="1">'Cost Summary'!G39</f>
        <v>120330.77288260231</v>
      </c>
      <c r="F66" s="190">
        <f ca="1">IFERROR(D66/'Input Summary'!$C$15/'General Input'!$D$27,"")</f>
        <v>24.066154576520461</v>
      </c>
    </row>
    <row r="67" spans="1:6">
      <c r="A67" s="117" t="s">
        <v>59</v>
      </c>
      <c r="C67" s="10" t="str">
        <f>'Fixed Costs'!E15*100&amp;"% of Maintenance Wages and Benefits"</f>
        <v>100% of Maintenance Wages and Benefits</v>
      </c>
      <c r="D67" s="196">
        <f ca="1">'Cost Summary'!G40</f>
        <v>481323.09153040923</v>
      </c>
      <c r="F67" s="190">
        <f ca="1">IFERROR(D67/'Input Summary'!$C$15/'General Input'!$D$27,"")</f>
        <v>96.264618306081843</v>
      </c>
    </row>
    <row r="68" spans="1:6">
      <c r="A68" s="117" t="s">
        <v>60</v>
      </c>
      <c r="C68" s="10" t="str">
        <f>'Fixed Costs'!E16*100&amp;"% of Maintenance Wages and Benefits"</f>
        <v>5% of Maintenance Wages and Benefits</v>
      </c>
      <c r="D68" s="196">
        <f ca="1">'Cost Summary'!G41</f>
        <v>24066.154576520465</v>
      </c>
      <c r="F68" s="190">
        <f ca="1">IFERROR(D68/'Input Summary'!$C$15/'General Input'!$D$27,"")</f>
        <v>4.8132309153040929</v>
      </c>
    </row>
    <row r="69" spans="1:6">
      <c r="A69" s="18" t="s">
        <v>327</v>
      </c>
      <c r="D69" s="200">
        <f ca="1">SUM(D65:D68)</f>
        <v>1107043.1105199412</v>
      </c>
      <c r="F69" s="199">
        <f ca="1">SUM(F65:F68)</f>
        <v>221.40862210398825</v>
      </c>
    </row>
    <row r="70" spans="1:6">
      <c r="F70" s="190"/>
    </row>
    <row r="71" spans="1:6">
      <c r="A71" s="11" t="s">
        <v>34</v>
      </c>
      <c r="F71" s="190"/>
    </row>
    <row r="72" spans="1:6">
      <c r="A72" s="16" t="s">
        <v>328</v>
      </c>
      <c r="C72" s="10" t="str">
        <f>'Fixed Costs'!E20*100&amp;"% of Op. &amp; Maint. Wages and Benefits"</f>
        <v>7.1% of Op. &amp; Maint. Wages and Benefits</v>
      </c>
      <c r="D72" s="196">
        <f ca="1">'Cost Summary'!G47</f>
        <v>110650.22437332381</v>
      </c>
      <c r="F72" s="190">
        <f ca="1">IFERROR(D72/'Input Summary'!$C$15/'General Input'!$D$27,"")</f>
        <v>22.130044874664762</v>
      </c>
    </row>
    <row r="73" spans="1:6">
      <c r="A73" s="16" t="s">
        <v>329</v>
      </c>
      <c r="C73" s="10" t="str">
        <f>'Fixed Costs'!E21*100&amp;"% of Op. &amp; Maint. Wages and Benefits"</f>
        <v>2.4% of Op. &amp; Maint. Wages and Benefits</v>
      </c>
      <c r="D73" s="196">
        <f ca="1">'Cost Summary'!G48</f>
        <v>37402.892745912279</v>
      </c>
      <c r="F73" s="190">
        <f ca="1">IFERROR(D73/'Input Summary'!$C$15/'General Input'!$D$27,"")</f>
        <v>7.4805785491824555</v>
      </c>
    </row>
    <row r="74" spans="1:6">
      <c r="A74" s="16" t="s">
        <v>95</v>
      </c>
      <c r="C74" s="10" t="str">
        <f>'Fixed Costs'!E22*100&amp;"% of Op. &amp; Maint. Wages and Benefits"</f>
        <v>5.9% of Op. &amp; Maint. Wages and Benefits</v>
      </c>
      <c r="D74" s="196">
        <f ca="1">'Cost Summary'!G49</f>
        <v>91948.778000367674</v>
      </c>
      <c r="F74" s="190">
        <f ca="1">IFERROR(D74/'Input Summary'!$C$15/'General Input'!$D$27,"")</f>
        <v>18.389755600073535</v>
      </c>
    </row>
    <row r="75" spans="1:6">
      <c r="A75" s="16" t="s">
        <v>96</v>
      </c>
      <c r="C75" s="10" t="str">
        <f>'Fixed Costs'!E23*100&amp;"% of Op. &amp; Maint. Wages and Benefits"</f>
        <v>7.4% of Op. &amp; Maint. Wages and Benefits</v>
      </c>
      <c r="D75" s="196">
        <f ca="1">'Cost Summary'!G50</f>
        <v>115325.58596656285</v>
      </c>
      <c r="F75" s="190">
        <f ca="1">IFERROR(D75/'Input Summary'!$C$15/'General Input'!$D$27,"")</f>
        <v>23.06511719331257</v>
      </c>
    </row>
    <row r="76" spans="1:6">
      <c r="A76" s="18" t="s">
        <v>336</v>
      </c>
      <c r="D76" s="200">
        <f ca="1">SUM(D72:D75)</f>
        <v>355327.48108616663</v>
      </c>
      <c r="F76" s="199">
        <f ca="1">SUM(F72:F75)</f>
        <v>71.065496217233317</v>
      </c>
    </row>
    <row r="77" spans="1:6">
      <c r="F77" s="190"/>
    </row>
    <row r="78" spans="1:6">
      <c r="A78" s="10" t="s">
        <v>97</v>
      </c>
      <c r="C78" s="10" t="str">
        <f>'Fixed Costs'!E27*100&amp;"% of Total Depreciable Capital"</f>
        <v>2% of Total Depreciable Capital</v>
      </c>
      <c r="D78" s="196">
        <f ca="1">'Cost Summary'!G56</f>
        <v>641764.12204054568</v>
      </c>
      <c r="F78" s="190">
        <f ca="1">IFERROR(D78/'Input Summary'!$C$15/'General Input'!$D$27,0)</f>
        <v>128.35282440810914</v>
      </c>
    </row>
    <row r="79" spans="1:6">
      <c r="F79" s="190"/>
    </row>
    <row r="80" spans="1:6">
      <c r="A80" s="10" t="s">
        <v>330</v>
      </c>
      <c r="C80" s="10" t="str">
        <f>'Fixed Costs'!C30*100&amp;"% / "&amp;'Fixed Costs'!C32*100&amp;"%"</f>
        <v>8% / 6%</v>
      </c>
      <c r="D80" s="196">
        <f ca="1">-'Profitability Measures'!E12</f>
        <v>2952114.9613865097</v>
      </c>
      <c r="F80" s="190">
        <f ca="1">IFERROR(D80/'Input Summary'!$C$15/'General Input'!$D$27,0)</f>
        <v>590.42299227730189</v>
      </c>
    </row>
    <row r="81" spans="1:6">
      <c r="A81" s="10" t="s">
        <v>110</v>
      </c>
      <c r="D81" s="196">
        <f>'Fixed Costs'!E40</f>
        <v>0</v>
      </c>
      <c r="F81" s="190">
        <f>IFERROR(D81/'Input Summary'!$C$15/'General Input'!$D$27,0)</f>
        <v>0</v>
      </c>
    </row>
    <row r="82" spans="1:6">
      <c r="F82" s="190"/>
    </row>
    <row r="83" spans="1:6">
      <c r="A83" s="11" t="s">
        <v>331</v>
      </c>
      <c r="F83" s="190"/>
    </row>
    <row r="84" spans="1:6">
      <c r="A84" s="117" t="s">
        <v>332</v>
      </c>
      <c r="D84" s="196">
        <f>'Fixed Costs'!E35</f>
        <v>0</v>
      </c>
      <c r="F84" s="190">
        <f>IFERROR(D84/'Input Summary'!$C$15/'General Input'!$D$27,"")</f>
        <v>0</v>
      </c>
    </row>
    <row r="85" spans="1:6">
      <c r="A85" s="117" t="s">
        <v>333</v>
      </c>
      <c r="D85" s="196">
        <f>'Fixed Costs'!E36</f>
        <v>0</v>
      </c>
      <c r="F85" s="190">
        <f>IFERROR(D85/'Input Summary'!$C$15/'General Input'!$D$27,"")</f>
        <v>0</v>
      </c>
    </row>
    <row r="86" spans="1:6">
      <c r="A86" s="117" t="s">
        <v>334</v>
      </c>
      <c r="D86" s="196">
        <f>'Fixed Costs'!E37</f>
        <v>0</v>
      </c>
      <c r="F86" s="190">
        <f>IFERROR(D86/'Input Summary'!$C$15/'General Input'!$D$27,"")</f>
        <v>0</v>
      </c>
    </row>
    <row r="87" spans="1:6">
      <c r="A87" s="18" t="s">
        <v>352</v>
      </c>
      <c r="D87" s="200">
        <f>SUM(D84:D86)</f>
        <v>0</v>
      </c>
      <c r="F87" s="199">
        <f>SUM(F84:F86)</f>
        <v>0</v>
      </c>
    </row>
    <row r="88" spans="1:6">
      <c r="F88" s="190"/>
    </row>
    <row r="89" spans="1:6">
      <c r="D89" s="12" t="s">
        <v>351</v>
      </c>
      <c r="F89" s="195" t="str">
        <f>F11</f>
        <v>Cost/tonnes</v>
      </c>
    </row>
    <row r="90" spans="1:6">
      <c r="A90" s="18" t="s">
        <v>335</v>
      </c>
      <c r="D90" s="200">
        <f ca="1">F52*B4+D62+D69+D76+D78+D80+D81+D87</f>
        <v>41568069.28506843</v>
      </c>
      <c r="F90" s="199">
        <f ca="1">F52+F62+F69+F76+F78+F80+F81+F87</f>
        <v>8313.6138570136864</v>
      </c>
    </row>
    <row r="91" spans="1:6">
      <c r="F91" s="190"/>
    </row>
    <row r="92" spans="1:6">
      <c r="A92" s="18" t="s">
        <v>338</v>
      </c>
      <c r="F92" s="190"/>
    </row>
    <row r="93" spans="1:6">
      <c r="A93" s="198" t="s">
        <v>339</v>
      </c>
      <c r="C93" s="10" t="str">
        <f>'Var Costs &amp; WC'!E4*100&amp;"% of Sales"</f>
        <v>3% of Sales</v>
      </c>
      <c r="D93" s="196">
        <f>'Cost Summary'!G6</f>
        <v>8408851.5</v>
      </c>
      <c r="F93" s="190">
        <f>IFERROR(D93/'Input Summary'!$C$15/'General Input'!$D$27,"")</f>
        <v>1681.7702999999999</v>
      </c>
    </row>
    <row r="94" spans="1:6">
      <c r="A94" s="198" t="s">
        <v>340</v>
      </c>
      <c r="C94" s="10" t="str">
        <f>'Var Costs &amp; WC'!E5*100&amp;"% of Sales"</f>
        <v>3% of Sales</v>
      </c>
      <c r="D94" s="196">
        <f>'Cost Summary'!G7</f>
        <v>8408851.5</v>
      </c>
      <c r="F94" s="190">
        <f>IFERROR(D94/'Input Summary'!$C$15/'General Input'!$D$27,"")</f>
        <v>1681.7702999999999</v>
      </c>
    </row>
    <row r="95" spans="1:6">
      <c r="A95" s="198" t="s">
        <v>341</v>
      </c>
      <c r="C95" s="10" t="str">
        <f>'Var Costs &amp; WC'!E6*100&amp;"% of Sales"</f>
        <v>0.5% of Sales</v>
      </c>
      <c r="D95" s="196">
        <f>'Cost Summary'!G8</f>
        <v>1401475.25</v>
      </c>
      <c r="F95" s="190">
        <f>IFERROR(D95/'Input Summary'!$C$15/'General Input'!$D$27,"")</f>
        <v>280.29505</v>
      </c>
    </row>
    <row r="96" spans="1:6">
      <c r="A96" s="198" t="s">
        <v>342</v>
      </c>
      <c r="C96" s="10" t="str">
        <f>'Var Costs &amp; WC'!E7*100&amp;"% of Sales"</f>
        <v>2% of Sales</v>
      </c>
      <c r="D96" s="196">
        <f>'Cost Summary'!G9</f>
        <v>5605901</v>
      </c>
      <c r="F96" s="190">
        <f>IFERROR(D96/'Input Summary'!$C$15/'General Input'!$D$27,"")</f>
        <v>1121.1802</v>
      </c>
    </row>
    <row r="97" spans="1:6">
      <c r="A97" s="198" t="s">
        <v>343</v>
      </c>
      <c r="C97" s="10" t="str">
        <f>'Var Costs &amp; WC'!E8*100&amp;"% of Sales"</f>
        <v>1.25% of Sales</v>
      </c>
      <c r="D97" s="196">
        <f>'Cost Summary'!G10</f>
        <v>3503688.125</v>
      </c>
      <c r="F97" s="190">
        <f>IFERROR(D97/'Input Summary'!$C$15/'General Input'!$D$27,"")</f>
        <v>700.73762499999998</v>
      </c>
    </row>
    <row r="98" spans="1:6">
      <c r="A98" s="18" t="s">
        <v>353</v>
      </c>
      <c r="D98" s="200">
        <f>SUM(D93:D97)</f>
        <v>27328767.375</v>
      </c>
      <c r="F98" s="199">
        <f>SUM(F93:F97)</f>
        <v>5465.7534749999995</v>
      </c>
    </row>
    <row r="99" spans="1:6">
      <c r="F99" s="190"/>
    </row>
    <row r="100" spans="1:6">
      <c r="D100" s="12" t="s">
        <v>351</v>
      </c>
      <c r="F100" s="195" t="str">
        <f>F11</f>
        <v>Cost/tonnes</v>
      </c>
    </row>
    <row r="101" spans="1:6">
      <c r="A101" s="18" t="s">
        <v>344</v>
      </c>
      <c r="D101" s="200">
        <f ca="1">D90+D98</f>
        <v>68896836.660068423</v>
      </c>
      <c r="F101" s="199">
        <f ca="1">F90+F98</f>
        <v>13779.367332013686</v>
      </c>
    </row>
  </sheetData>
  <sheetProtection algorithmName="SHA-512" hashValue="HUMT4J4ZV+H340+Hin8HsuR2zj4jMTR1aKfQ2xzeeg2czUwy13b1SlwWsT3WT4GvalqG5jsOoB6BHtm6iVu4Cg==" saltValue="6Iw9Stbi+q9VvRcx+8ldUQ==" spinCount="100000" sheet="1" objects="1" scenarios="1" formatRows="0"/>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B050"/>
    <pageSetUpPr fitToPage="1"/>
  </sheetPr>
  <dimension ref="B1:AE48"/>
  <sheetViews>
    <sheetView showGridLines="0" topLeftCell="G1" zoomScaleNormal="100" zoomScaleSheetLayoutView="85" workbookViewId="0">
      <selection activeCell="B6" sqref="B6"/>
    </sheetView>
  </sheetViews>
  <sheetFormatPr defaultColWidth="9.140625" defaultRowHeight="12.75"/>
  <cols>
    <col min="1" max="1" width="9.140625" style="10"/>
    <col min="2" max="2" width="9.140625" style="26"/>
    <col min="3" max="3" width="0" style="26" hidden="1" customWidth="1"/>
    <col min="4" max="4" width="13.140625" style="26" customWidth="1"/>
    <col min="5" max="5" width="11.42578125" style="10" customWidth="1"/>
    <col min="6" max="6" width="14" style="10" hidden="1" customWidth="1"/>
    <col min="7" max="7" width="14" style="10" customWidth="1"/>
    <col min="8" max="8" width="16" style="10" hidden="1" customWidth="1"/>
    <col min="9" max="9" width="16" style="10" customWidth="1"/>
    <col min="10" max="10" width="16" style="10" hidden="1" customWidth="1"/>
    <col min="11" max="11" width="16" style="10" customWidth="1"/>
    <col min="12" max="12" width="12.7109375" style="10" hidden="1" customWidth="1"/>
    <col min="13" max="13" width="12.7109375" style="10" customWidth="1"/>
    <col min="14" max="16" width="12.7109375" style="10" hidden="1" customWidth="1"/>
    <col min="17" max="17" width="12.7109375" style="10" customWidth="1"/>
    <col min="18" max="18" width="12.7109375" style="10" hidden="1" customWidth="1"/>
    <col min="19" max="19" width="12.7109375" style="10" customWidth="1"/>
    <col min="20" max="20" width="13.28515625" style="10" customWidth="1"/>
    <col min="21" max="21" width="12.7109375" style="10" hidden="1" customWidth="1"/>
    <col min="22" max="22" width="12.7109375" style="10" customWidth="1"/>
    <col min="23" max="23" width="12.7109375" style="10" hidden="1" customWidth="1"/>
    <col min="24" max="24" width="12.7109375" style="10" customWidth="1"/>
    <col min="25" max="25" width="12.7109375" style="10" hidden="1" customWidth="1"/>
    <col min="26" max="27" width="12.7109375" style="10" customWidth="1"/>
    <col min="28" max="28" width="14.140625" style="10" hidden="1" customWidth="1"/>
    <col min="29" max="29" width="14" style="135" hidden="1" customWidth="1"/>
    <col min="30" max="30" width="12.42578125" style="135" hidden="1" customWidth="1"/>
    <col min="31" max="31" width="17.7109375" style="10" customWidth="1"/>
    <col min="32" max="16384" width="9.140625" style="10"/>
  </cols>
  <sheetData>
    <row r="1" spans="2:31" ht="20.25">
      <c r="B1" s="205" t="s">
        <v>242</v>
      </c>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row>
    <row r="2" spans="2:31" ht="15" customHeight="1">
      <c r="D2" s="206" t="s">
        <v>245</v>
      </c>
      <c r="E2" s="206" t="s">
        <v>184</v>
      </c>
      <c r="T2" s="206" t="s">
        <v>110</v>
      </c>
      <c r="AC2" s="206" t="str">
        <f>"Cumulative Net Present Value"</f>
        <v>Cumulative Net Present Value</v>
      </c>
      <c r="AE2" s="206" t="str">
        <f>"Cumulative Net Present Value at "&amp;'General Input'!D38*100&amp;"%"</f>
        <v>Cumulative Net Present Value at 15%</v>
      </c>
    </row>
    <row r="3" spans="2:31" s="27" customFormat="1" ht="12.75" customHeight="1">
      <c r="B3" s="27" t="s">
        <v>2</v>
      </c>
      <c r="C3" s="27" t="s">
        <v>246</v>
      </c>
      <c r="D3" s="206" t="s">
        <v>191</v>
      </c>
      <c r="E3" s="206" t="s">
        <v>184</v>
      </c>
      <c r="F3" s="27" t="s">
        <v>3</v>
      </c>
      <c r="G3" s="27" t="str">
        <f>F3</f>
        <v>Sales</v>
      </c>
      <c r="H3" s="27" t="s">
        <v>0</v>
      </c>
      <c r="I3" s="27" t="str">
        <f>H3</f>
        <v>Capital Costs</v>
      </c>
      <c r="J3" s="27" t="s">
        <v>120</v>
      </c>
      <c r="K3" s="27" t="str">
        <f>J3</f>
        <v>Working Capital</v>
      </c>
      <c r="L3" s="27" t="s">
        <v>4</v>
      </c>
      <c r="M3" s="27" t="str">
        <f>L3</f>
        <v>Var Costs</v>
      </c>
      <c r="N3" s="27" t="s">
        <v>5</v>
      </c>
      <c r="O3" s="27" t="s">
        <v>68</v>
      </c>
      <c r="P3" s="27" t="str">
        <f>'Input Summary'!F21</f>
        <v>20 year MACRS</v>
      </c>
      <c r="Q3" s="27" t="str">
        <f>N3</f>
        <v>Fixed Costs</v>
      </c>
      <c r="R3" s="27" t="s">
        <v>6</v>
      </c>
      <c r="S3" s="27" t="str">
        <f>R3</f>
        <v>Depreciation</v>
      </c>
      <c r="T3" s="206"/>
      <c r="U3" s="27" t="s">
        <v>313</v>
      </c>
      <c r="V3" s="27" t="str">
        <f>U3</f>
        <v>Taxable Income</v>
      </c>
      <c r="W3" s="27" t="s">
        <v>203</v>
      </c>
      <c r="X3" s="27" t="str">
        <f>W3</f>
        <v>Taxes</v>
      </c>
      <c r="Y3" s="27" t="s">
        <v>7</v>
      </c>
      <c r="Z3" s="27" t="str">
        <f>Y3</f>
        <v>Net Earnings</v>
      </c>
      <c r="AA3" s="27" t="str">
        <f>AB3</f>
        <v>Cash Flow</v>
      </c>
      <c r="AB3" s="27" t="s">
        <v>66</v>
      </c>
      <c r="AC3" s="206"/>
      <c r="AD3" s="136" t="s">
        <v>68</v>
      </c>
      <c r="AE3" s="206"/>
    </row>
    <row r="4" spans="2:31">
      <c r="B4" s="26">
        <f>IF('Input Summary'!A22&gt;0,'Input Summary'!A22,"")</f>
        <v>2024</v>
      </c>
      <c r="C4" s="137">
        <f>IF('Input Summary'!E22="","",'Input Summary'!E22)</f>
        <v>0</v>
      </c>
      <c r="D4" s="138">
        <f>IF(B4="","",C4)</f>
        <v>0</v>
      </c>
      <c r="E4" s="139" t="str">
        <f>IF(B4="","",IF((B4+1)&gt;SUM('General Input'!D$7:D$8,'General Input'!D$11),VLOOKUP(B4,'Selling Price'!$A$8:$D$58,4,FALSE),""))</f>
        <v/>
      </c>
      <c r="F4" s="140">
        <f>IF(E4="",0,(E4)*'Input Summary'!$C$15*'Input Summary'!E22)</f>
        <v>0</v>
      </c>
      <c r="G4" s="140">
        <f>IF(F4="","",ROUND(F4,-2))</f>
        <v>0</v>
      </c>
      <c r="H4" s="140">
        <f>IF(B4="","",(-1*IF(ISNA(VLOOKUP(B4,'Total Permanent Investment'!$D$4:$E$6,2,FALSE)),0,VLOOKUP(B4,'Total Permanent Investment'!$D$4:$E$6,2,FALSE)*'Cost Summary'!$H$113)))</f>
        <v>0</v>
      </c>
      <c r="I4" s="140">
        <f>IF(H4="","",ROUND(H4,-2))</f>
        <v>0</v>
      </c>
      <c r="J4" s="140">
        <f ca="1">-1*C5*'Var Costs &amp; WC'!$K$19</f>
        <v>0</v>
      </c>
      <c r="K4" s="140">
        <f ca="1">IF(J4="","",ROUND(J4,-2))</f>
        <v>0</v>
      </c>
      <c r="L4" s="140">
        <f ca="1">IF(B4="","",-1*IF('General Input'!$D$41&gt;0,(1+'General Input'!$D$41)^('Cash Flows'!AD4)*C4*'Cost Summary'!$G$22,(1+'General Input'!$D$39*'Profitability Measures'!$R$40)^('Cash Flows'!AD4)*C4*'Cost Summary'!$G$22))</f>
        <v>0</v>
      </c>
      <c r="M4" s="140">
        <f ca="1">IF(L4="","",ROUND(L4,-2))</f>
        <v>0</v>
      </c>
      <c r="N4" s="140">
        <f>IF(B4="","",IF(B4&lt;SUM('General Input'!$D$11,'General Input'!$D$7:$D$8),0,-1*IF('General Input'!$D$42&gt;0,'Cost Summary'!$G$66*(1+'General Input'!$D$42)^('Cash Flows'!B4-SUM('General Input'!$D$11,'General Input'!$D$7:$D$8)),'Cost Summary'!$G$66*(1+'General Input'!$D$39*'Profitability Measures'!$R$40)^('Cash Flows'!B4-SUM('General Input'!$D$11,'General Input'!$D$7:$D$8))))-IF(B4='Cost Summary'!$E$68,'Cost Summary'!$G$68,0))</f>
        <v>0</v>
      </c>
      <c r="O4" s="140">
        <f ca="1">N4+L4</f>
        <v>0</v>
      </c>
      <c r="P4" s="15">
        <f>IF(B4="","",IF('Input Summary'!F22="",0,'Input Summary'!F22))</f>
        <v>0</v>
      </c>
      <c r="Q4" s="140">
        <f>IF(P4="","",ROUND(N4,-2))</f>
        <v>0</v>
      </c>
      <c r="R4" s="140">
        <f ca="1">IF(B4="","",-1*IF(P4="",0,'Cost Summary'!$H$103*'Cash Flows'!P4))</f>
        <v>0</v>
      </c>
      <c r="S4" s="140">
        <f ca="1">IF(R4="","",ROUND(R4,-2))</f>
        <v>0</v>
      </c>
      <c r="T4" s="140">
        <f>IF(B4="","",-1*IF(E4="",0,'Fixed Costs'!$E$40))</f>
        <v>0</v>
      </c>
      <c r="U4" s="141">
        <f ca="1">IF(B4="","",F4+L4+N4+R4+T4)</f>
        <v>0</v>
      </c>
      <c r="V4" s="140">
        <f ca="1">IF(U4="","",ROUND(U4,-2))</f>
        <v>0</v>
      </c>
      <c r="W4" s="141">
        <f ca="1">IF(B4="","",U4*-1*'General Input'!$D$37)</f>
        <v>0</v>
      </c>
      <c r="X4" s="140">
        <f ca="1">IF(W4="","",ROUND(W4,-2))</f>
        <v>0</v>
      </c>
      <c r="Y4" s="141">
        <f ca="1">IF(B4="","",U4+W4)</f>
        <v>0</v>
      </c>
      <c r="Z4" s="140">
        <f ca="1">IF(Y4="","",ROUND(Y4,-2))</f>
        <v>0</v>
      </c>
      <c r="AA4" s="140">
        <f ca="1">IF(AB4="","",ROUND(AB4,-2))</f>
        <v>0</v>
      </c>
      <c r="AB4" s="141">
        <f ca="1">IF(B4="","",Y4-R4-T4+H4+J4)</f>
        <v>0</v>
      </c>
      <c r="AC4" s="141">
        <f ca="1">IF(B4="","",AB4/(1+'General Input'!$D$38)^('Cash Flows'!B4-'Cash Flows'!$B$4))</f>
        <v>0</v>
      </c>
      <c r="AD4" s="135">
        <f>IF(B4="","",IF(B4=SUM('General Input'!$D$11,'General Input'!$D$7,'General Input'!$D$8),0,IF(B4&lt;SUM('General Input'!$D$11,'General Input'!$D$7,'General Input'!$D$8),0,'Cash Flows'!B4-SUM('General Input'!$D$11,'General Input'!$D$7,'General Input'!$D$8))))</f>
        <v>0</v>
      </c>
      <c r="AE4" s="141">
        <f ca="1">IF(AC4="","",ROUND(AC4,-2))</f>
        <v>0</v>
      </c>
    </row>
    <row r="5" spans="2:31">
      <c r="B5" s="26">
        <f>IF('Input Summary'!A23&gt;0,'Input Summary'!A23,"")</f>
        <v>2025</v>
      </c>
      <c r="C5" s="137">
        <f>IF('Input Summary'!E23="",0,'Input Summary'!E23)</f>
        <v>0</v>
      </c>
      <c r="D5" s="138">
        <f t="shared" ref="D5:D39" si="0">IF(B5="","",C5)</f>
        <v>0</v>
      </c>
      <c r="E5" s="139" t="str">
        <f>IF(B5="","",IF((B5+1)&gt;SUM('General Input'!D$7:D$8,'General Input'!D$11),VLOOKUP(B5,'Selling Price'!$A$8:$D$58,4,FALSE),""))</f>
        <v/>
      </c>
      <c r="F5" s="140">
        <f>IF(E5="",0,(E5)*'Input Summary'!$C$15*'Input Summary'!E23)</f>
        <v>0</v>
      </c>
      <c r="G5" s="140">
        <f t="shared" ref="G5:G44" si="1">IF(F5="","",ROUND(F5,-2))</f>
        <v>0</v>
      </c>
      <c r="H5" s="140">
        <f ca="1">IF(B5="","",(-1*IF(ISNA(VLOOKUP(B5,'Total Permanent Investment'!$D$4:$E$6,2,FALSE)),0,VLOOKUP(B5,'Total Permanent Investment'!$D$4:$E$6,2,FALSE)*'Cost Summary'!$H$113)))</f>
        <v>-37543201.139371917</v>
      </c>
      <c r="I5" s="140">
        <f t="shared" ref="I5:I40" ca="1" si="2">IF(H5="","",ROUND(H5,-2))</f>
        <v>-37543200</v>
      </c>
      <c r="J5" s="140">
        <f ca="1">IF(B5="","",-1*(C6-C5)*'Var Costs &amp; WC'!$K$19)</f>
        <v>-21038494.762136165</v>
      </c>
      <c r="K5" s="140">
        <f t="shared" ref="K5:K44" ca="1" si="3">IF(J5="","",ROUND(J5,-2))</f>
        <v>-21038500</v>
      </c>
      <c r="L5" s="140">
        <f ca="1">IF(B5="","",-1*IF('General Input'!$D$41&gt;0,(1+'General Input'!$D$41)^('Cash Flows'!AD5)*C5*'Cost Summary'!$G$22,(1+'General Input'!$D$39*'Profitability Measures'!$R$40)^('Cash Flows'!AD5)*C5*'Cost Summary'!$G$22))</f>
        <v>0</v>
      </c>
      <c r="M5" s="140">
        <f t="shared" ref="M5:M44" ca="1" si="4">IF(L5="","",ROUND(L5,-2))</f>
        <v>0</v>
      </c>
      <c r="N5" s="140">
        <f>IF(B5="","",IF(B5&lt;SUM('General Input'!$D$11,'General Input'!$D$7:$D$8),0,-1*IF('General Input'!$D$42&gt;0,'Cost Summary'!$G$66*(1+'General Input'!$D$42)^('Cash Flows'!B5-SUM('General Input'!$D$11,'General Input'!$D$7:$D$8)),'Cost Summary'!$G$66*(1+'General Input'!$D$39*'Profitability Measures'!$R$40)^('Cash Flows'!B5-SUM('General Input'!$D$11,'General Input'!$D$7:$D$8))))-IF(B5='Cost Summary'!$E$68,'Cost Summary'!$G$68,0))</f>
        <v>0</v>
      </c>
      <c r="O5" s="140">
        <f t="shared" ref="O5:O41" ca="1" si="5">N5+L5</f>
        <v>0</v>
      </c>
      <c r="P5" s="15">
        <f>IF(B5="","",IF('Input Summary'!F23="",0,'Input Summary'!F23))</f>
        <v>0</v>
      </c>
      <c r="Q5" s="140">
        <f t="shared" ref="Q5:Q43" si="6">IF(P5="","",ROUND(N5,-2))</f>
        <v>0</v>
      </c>
      <c r="R5" s="140">
        <f ca="1">IF(B5="","",-1*IF(P5="",0,'Cost Summary'!$H$103*'Cash Flows'!P5))</f>
        <v>0</v>
      </c>
      <c r="S5" s="140">
        <f t="shared" ref="S5:S42" ca="1" si="7">IF(R5="","",ROUND(R5,-2))</f>
        <v>0</v>
      </c>
      <c r="T5" s="140">
        <f>IF(B5="","",-1*IF(E5="",0,'Fixed Costs'!$E$40))</f>
        <v>0</v>
      </c>
      <c r="U5" s="141">
        <f t="shared" ref="U5:U39" ca="1" si="8">IF(B5="","",F5+L5+N5+R5+T5)</f>
        <v>0</v>
      </c>
      <c r="V5" s="140">
        <f t="shared" ref="V5:V48" ca="1" si="9">IF(U5="","",ROUND(U5,-2))</f>
        <v>0</v>
      </c>
      <c r="W5" s="141">
        <f ca="1">IF(B5="","",U5*-1*'General Input'!$D$37)</f>
        <v>0</v>
      </c>
      <c r="X5" s="140">
        <f t="shared" ref="X5:X44" ca="1" si="10">IF(W5="","",ROUND(W5,-2))</f>
        <v>0</v>
      </c>
      <c r="Y5" s="141">
        <f t="shared" ref="Y5:Y38" ca="1" si="11">IF(B5="","",U5+W5)</f>
        <v>0</v>
      </c>
      <c r="Z5" s="140">
        <f t="shared" ref="Z5:Z38" ca="1" si="12">IF(Y5="","",ROUND(Y5,-2))</f>
        <v>0</v>
      </c>
      <c r="AA5" s="140">
        <f t="shared" ref="AA5:AA38" ca="1" si="13">IF(AB5="","",ROUND(AB5,-2))</f>
        <v>-58581700</v>
      </c>
      <c r="AB5" s="141">
        <f t="shared" ref="AB5:AB38" ca="1" si="14">IF(B5="","",Y5-R5-T5+H5+J5)</f>
        <v>-58581695.901508078</v>
      </c>
      <c r="AC5" s="141">
        <f ca="1">IF(B5="","",AB5/(1+'General Input'!$D$38)^('Cash Flows'!B5-'Cash Flows'!$B$4)+AC4)</f>
        <v>-50940605.131746158</v>
      </c>
      <c r="AD5" s="135">
        <f>IF(B5="","",IF(B5=SUM('General Input'!$D$11,'General Input'!$D$7,'General Input'!$D$8),0,IF(B5&lt;SUM('General Input'!$D$11,'General Input'!$D$7,'General Input'!$D$8),0,'Cash Flows'!B5-SUM('General Input'!$D$11,'General Input'!$D$7,'General Input'!$D$8))))</f>
        <v>0</v>
      </c>
      <c r="AE5" s="141">
        <f t="shared" ref="AE5:AE42" ca="1" si="15">IF(AC5="","",ROUND(AC5,-2))</f>
        <v>-50940600</v>
      </c>
    </row>
    <row r="6" spans="2:31">
      <c r="B6" s="26">
        <f>IF('Input Summary'!A24&gt;0,'Input Summary'!A24,"")</f>
        <v>2026</v>
      </c>
      <c r="C6" s="137">
        <f>IF('Input Summary'!E24="",0,'Input Summary'!E24)</f>
        <v>0.5</v>
      </c>
      <c r="D6" s="138">
        <f t="shared" si="0"/>
        <v>0.5</v>
      </c>
      <c r="E6" s="139">
        <f>IF(B6="","",IF((B6+1)&gt;SUM('General Input'!D$7:D$8,'General Input'!D$11),VLOOKUP(B6,'Selling Price'!$A$8:$D$58,4,FALSE),""))</f>
        <v>48671</v>
      </c>
      <c r="F6" s="140">
        <f>IF(E6="",0,(E6)*'Input Summary'!$C$15*'Input Summary'!E24)</f>
        <v>121677500</v>
      </c>
      <c r="G6" s="140">
        <f t="shared" si="1"/>
        <v>121677500</v>
      </c>
      <c r="H6" s="140">
        <f ca="1">IF(B6="","",(-1*IF(ISNA(VLOOKUP(B6,'Total Permanent Investment'!$D$4:$E$6,2,FALSE)),0,VLOOKUP(B6,'Total Permanent Investment'!$D$4:$E$6,2,FALSE)*'Cost Summary'!$H$113)))</f>
        <v>0</v>
      </c>
      <c r="I6" s="140">
        <f t="shared" ca="1" si="2"/>
        <v>0</v>
      </c>
      <c r="J6" s="140">
        <f ca="1">IF(B6="","",-1*(C7-C6)*'Var Costs &amp; WC'!$K$19)</f>
        <v>-10519247.381068083</v>
      </c>
      <c r="K6" s="140">
        <f t="shared" ca="1" si="3"/>
        <v>-10519200</v>
      </c>
      <c r="L6" s="140">
        <f ca="1">IF(B6="","",-1*IF('General Input'!$D$41&gt;0,(1+'General Input'!$D$41)^('Cash Flows'!AD6)*C6*'Cost Summary'!$G$22,(1+'General Input'!$D$39*'Profitability Measures'!$R$40)^('Cash Flows'!AD6)*C6*'Cost Summary'!$G$22))</f>
        <v>-31191933.492517639</v>
      </c>
      <c r="M6" s="140">
        <f t="shared" ca="1" si="4"/>
        <v>-31191900</v>
      </c>
      <c r="N6" s="140">
        <f ca="1">IF(B6="","",IF(B6&lt;SUM('General Input'!$D$11,'General Input'!$D$7:$D$8),0,-1*IF('General Input'!$D$42&gt;0,'Cost Summary'!$G$66*(1+'General Input'!$D$42)^('Cash Flows'!B6-SUM('General Input'!$D$11,'General Input'!$D$7:$D$8)),'Cost Summary'!$G$66*(1+'General Input'!$D$39*'Profitability Measures'!$R$40)^('Cash Flows'!B6-SUM('General Input'!$D$11,'General Input'!$D$7:$D$8))))-IF(B6='Cost Summary'!$E$68,'Cost Summary'!$G$68,0))</f>
        <v>-3560854.7136466536</v>
      </c>
      <c r="O6" s="140">
        <f t="shared" ca="1" si="5"/>
        <v>-34752788.206164293</v>
      </c>
      <c r="P6" s="15">
        <f>IF(B6="","",IF('Input Summary'!F24="",0,'Input Summary'!F24))</f>
        <v>3.7499999999999999E-2</v>
      </c>
      <c r="Q6" s="140">
        <v>0</v>
      </c>
      <c r="R6" s="140">
        <f ca="1">IF(B6="","",-1*IF(P6="",0,'Cost Summary'!$H$103*'Cash Flows'!P6))</f>
        <v>-1203307.7288260229</v>
      </c>
      <c r="S6" s="140">
        <f t="shared" ca="1" si="7"/>
        <v>-1203300</v>
      </c>
      <c r="T6" s="140">
        <f>IF(B6="","",-1*IF(E6="",0,'Fixed Costs'!$E$40))</f>
        <v>0</v>
      </c>
      <c r="U6" s="141">
        <f t="shared" ca="1" si="8"/>
        <v>85721404.065009698</v>
      </c>
      <c r="V6" s="140">
        <f t="shared" ca="1" si="9"/>
        <v>85721400</v>
      </c>
      <c r="W6" s="141">
        <f ca="1">IF(B6="","",U6*-1*'General Input'!$D$37)</f>
        <v>-19715922.934952233</v>
      </c>
      <c r="X6" s="140">
        <f t="shared" ca="1" si="10"/>
        <v>-19715900</v>
      </c>
      <c r="Y6" s="141">
        <f t="shared" ca="1" si="11"/>
        <v>66005481.130057469</v>
      </c>
      <c r="Z6" s="140">
        <f t="shared" ca="1" si="12"/>
        <v>66005500</v>
      </c>
      <c r="AA6" s="140">
        <f t="shared" ca="1" si="13"/>
        <v>56689500</v>
      </c>
      <c r="AB6" s="141">
        <f t="shared" ca="1" si="14"/>
        <v>56689541.477815405</v>
      </c>
      <c r="AC6" s="141">
        <f ca="1">IF(B6="","",AB6/(1+'General Input'!$D$38)^('Cash Flows'!B6-'Cash Flows'!$B$4)+AC5)</f>
        <v>-8075167.3413375244</v>
      </c>
      <c r="AD6" s="135">
        <f>IF(B6="","",IF(B6=SUM('General Input'!$D$11,'General Input'!$D$7,'General Input'!$D$8),0,IF(B6&lt;SUM('General Input'!$D$11,'General Input'!$D$7,'General Input'!$D$8),0,'Cash Flows'!B6-SUM('General Input'!$D$11,'General Input'!$D$7,'General Input'!$D$8))))</f>
        <v>0</v>
      </c>
      <c r="AE6" s="141">
        <f t="shared" ca="1" si="15"/>
        <v>-8075200</v>
      </c>
    </row>
    <row r="7" spans="2:31">
      <c r="B7" s="26">
        <f>IF('Input Summary'!A25&gt;0,'Input Summary'!A25,"")</f>
        <v>2027</v>
      </c>
      <c r="C7" s="137">
        <f>IF('Input Summary'!E25="",0,'Input Summary'!E25)</f>
        <v>0.75</v>
      </c>
      <c r="D7" s="138">
        <f t="shared" si="0"/>
        <v>0.75</v>
      </c>
      <c r="E7" s="139">
        <f>IF(B7="","",IF((B7+1)&gt;SUM('General Input'!D$7:D$8,'General Input'!D$11),VLOOKUP(B7,'Selling Price'!$A$8:$D$58,4,FALSE),""))</f>
        <v>55551</v>
      </c>
      <c r="F7" s="140">
        <f>IF(E7="",0,(E7)*'Input Summary'!$C$15*'Input Summary'!E25)</f>
        <v>208316250</v>
      </c>
      <c r="G7" s="140">
        <f t="shared" si="1"/>
        <v>208316300</v>
      </c>
      <c r="H7" s="140">
        <f ca="1">IF(B7="","",(-1*IF(ISNA(VLOOKUP(B7,'Total Permanent Investment'!$D$4:$E$6,2,FALSE)),0,VLOOKUP(B7,'Total Permanent Investment'!$D$4:$E$6,2,FALSE)*'Cost Summary'!$H$113)))</f>
        <v>0</v>
      </c>
      <c r="I7" s="140">
        <f t="shared" ca="1" si="2"/>
        <v>0</v>
      </c>
      <c r="J7" s="140">
        <f ca="1">IF(B7="","",-1*(C8-C7)*'Var Costs &amp; WC'!$K$19)</f>
        <v>-10519247.381068083</v>
      </c>
      <c r="K7" s="140">
        <f t="shared" ca="1" si="3"/>
        <v>-10519200</v>
      </c>
      <c r="L7" s="140">
        <f ca="1">IF(B7="","",-1*IF('General Input'!$D$41&gt;0,(1+'General Input'!$D$41)^('Cash Flows'!AD7)*C7*'Cost Summary'!$G$22,(1+'General Input'!$D$39*'Profitability Measures'!$R$40)^('Cash Flows'!AD7)*C7*'Cost Summary'!$G$22))</f>
        <v>-47957597.744745865</v>
      </c>
      <c r="M7" s="140">
        <f t="shared" ca="1" si="4"/>
        <v>-47957600</v>
      </c>
      <c r="N7" s="140">
        <f ca="1">IF(B7="","",IF(B7&lt;SUM('General Input'!$D$11,'General Input'!$D$7:$D$8),0,-1*IF('General Input'!$D$42&gt;0,'Cost Summary'!$G$66*(1+'General Input'!$D$42)^('Cash Flows'!B7-SUM('General Input'!$D$11,'General Input'!$D$7:$D$8)),'Cost Summary'!$G$66*(1+'General Input'!$D$39*'Profitability Measures'!$R$40)^('Cash Flows'!B7-SUM('General Input'!$D$11,'General Input'!$D$7:$D$8))))-IF(B7='Cost Summary'!$E$68,'Cost Summary'!$G$68,0))</f>
        <v>-3649876.0814878196</v>
      </c>
      <c r="O7" s="140">
        <f t="shared" ca="1" si="5"/>
        <v>-51607473.826233685</v>
      </c>
      <c r="P7" s="15">
        <f>IF(B7="","",IF('Input Summary'!F25="",0,'Input Summary'!F25))</f>
        <v>7.2190000000000004E-2</v>
      </c>
      <c r="Q7" s="140">
        <f t="shared" ca="1" si="6"/>
        <v>-3649900</v>
      </c>
      <c r="R7" s="140">
        <f ca="1">IF(B7="","",-1*IF(P7="",0,'Cost Summary'!$H$103*'Cash Flows'!P7))</f>
        <v>-2316447.5985053498</v>
      </c>
      <c r="S7" s="140">
        <f t="shared" ca="1" si="7"/>
        <v>-2316400</v>
      </c>
      <c r="T7" s="140">
        <f>IF(B7="","",-1*IF(E7="",0,'Fixed Costs'!$E$40))</f>
        <v>0</v>
      </c>
      <c r="U7" s="141">
        <f t="shared" ca="1" si="8"/>
        <v>154392328.57526097</v>
      </c>
      <c r="V7" s="140">
        <f t="shared" ca="1" si="9"/>
        <v>154392300</v>
      </c>
      <c r="W7" s="141">
        <f ca="1">IF(B7="","",U7*-1*'General Input'!$D$37)</f>
        <v>-35510235.572310023</v>
      </c>
      <c r="X7" s="140">
        <f t="shared" ca="1" si="10"/>
        <v>-35510200</v>
      </c>
      <c r="Y7" s="141">
        <f t="shared" ca="1" si="11"/>
        <v>118882093.00295094</v>
      </c>
      <c r="Z7" s="140">
        <f t="shared" ca="1" si="12"/>
        <v>118882100</v>
      </c>
      <c r="AA7" s="140">
        <f t="shared" ca="1" si="13"/>
        <v>110679300</v>
      </c>
      <c r="AB7" s="141">
        <f t="shared" ca="1" si="14"/>
        <v>110679293.2203882</v>
      </c>
      <c r="AC7" s="141">
        <f ca="1">IF(B7="","",AB7/(1+'General Input'!$D$38)^('Cash Flows'!B7-'Cash Flows'!$B$4)+AC6)</f>
        <v>64698264.545167439</v>
      </c>
      <c r="AD7" s="135">
        <f>IF(B7="","",IF(B7=SUM('General Input'!$D$11,'General Input'!$D$7,'General Input'!$D$8),0,IF(B7&lt;SUM('General Input'!$D$11,'General Input'!$D$7,'General Input'!$D$8),0,'Cash Flows'!B7-SUM('General Input'!$D$11,'General Input'!$D$7,'General Input'!$D$8))))</f>
        <v>1</v>
      </c>
      <c r="AE7" s="141">
        <f t="shared" ca="1" si="15"/>
        <v>64698300</v>
      </c>
    </row>
    <row r="8" spans="2:31">
      <c r="B8" s="26">
        <f>IF('Input Summary'!A26&gt;0,'Input Summary'!A26,"")</f>
        <v>2028</v>
      </c>
      <c r="C8" s="137">
        <f>IF('Input Summary'!E26="",0,'Input Summary'!E26)</f>
        <v>1</v>
      </c>
      <c r="D8" s="138">
        <f t="shared" si="0"/>
        <v>1</v>
      </c>
      <c r="E8" s="139">
        <f>IF(B8="","",IF((B8+1)&gt;SUM('General Input'!D$7:D$8,'General Input'!D$11),VLOOKUP(B8,'Selling Price'!$A$8:$D$58,4,FALSE),""))</f>
        <v>55551</v>
      </c>
      <c r="F8" s="140">
        <f>IF(E8="","",(E8)*'Input Summary'!$C$15*'Input Summary'!E26)</f>
        <v>277755000</v>
      </c>
      <c r="G8" s="140">
        <f t="shared" si="1"/>
        <v>277755000</v>
      </c>
      <c r="H8" s="140">
        <f>IF(B8="","",(-1*IF(ISNA(VLOOKUP(B8,'Total Permanent Investment'!$D$4:$E$6,2,FALSE)),0,VLOOKUP(B8,'Total Permanent Investment'!$D$4:$E$6,2,FALSE)*'Cost Summary'!$H$113)))</f>
        <v>0</v>
      </c>
      <c r="I8" s="140">
        <f t="shared" si="2"/>
        <v>0</v>
      </c>
      <c r="J8" s="140">
        <f ca="1">IF(B8="","",-1*(C9-C8)*'Var Costs &amp; WC'!$K$19)</f>
        <v>0</v>
      </c>
      <c r="K8" s="140">
        <f t="shared" ca="1" si="3"/>
        <v>0</v>
      </c>
      <c r="L8" s="140">
        <f ca="1">IF(B8="","",-1*IF('General Input'!$D$41&gt;0,(1+'General Input'!$D$41)^('Cash Flows'!AD8)*C8*'Cost Summary'!$G$22,(1+'General Input'!$D$39*'Profitability Measures'!$R$40)^('Cash Flows'!AD8)*C8*'Cost Summary'!$G$22))</f>
        <v>-65542050.251152687</v>
      </c>
      <c r="M8" s="140">
        <f t="shared" ca="1" si="4"/>
        <v>-65542100</v>
      </c>
      <c r="N8" s="140">
        <f ca="1">IF(B8="","",IF(B8&lt;SUM('General Input'!$D$11,'General Input'!$D$7:$D$8),0,-1*IF('General Input'!$D$42&gt;0,'Cost Summary'!$G$66*(1+'General Input'!$D$42)^('Cash Flows'!B8-SUM('General Input'!$D$11,'General Input'!$D$7:$D$8)),'Cost Summary'!$G$66*(1+'General Input'!$D$39*'Profitability Measures'!$R$40)^('Cash Flows'!B8-SUM('General Input'!$D$11,'General Input'!$D$7:$D$8))))-IF(B8='Cost Summary'!$E$68,'Cost Summary'!$G$68,0))</f>
        <v>-3741122.9835250149</v>
      </c>
      <c r="O8" s="140">
        <f t="shared" ca="1" si="5"/>
        <v>-69283173.234677702</v>
      </c>
      <c r="P8" s="15">
        <f>IF(B8="","",IF('Input Summary'!F26="",0,'Input Summary'!F26))</f>
        <v>6.6769999999999996E-2</v>
      </c>
      <c r="Q8" s="140">
        <f t="shared" ca="1" si="6"/>
        <v>-3741100</v>
      </c>
      <c r="R8" s="140">
        <f ca="1">IF(B8="","",-1*IF(P8="",0,'Cost Summary'!$H$103*'Cash Flows'!P8))</f>
        <v>-2142529.5214323616</v>
      </c>
      <c r="S8" s="140">
        <f t="shared" ca="1" si="7"/>
        <v>-2142500</v>
      </c>
      <c r="T8" s="140">
        <f>IF(B8="","",-1*IF(E8="",0,'Fixed Costs'!$E$40))</f>
        <v>0</v>
      </c>
      <c r="U8" s="141">
        <f t="shared" ca="1" si="8"/>
        <v>206329297.24388993</v>
      </c>
      <c r="V8" s="140">
        <f t="shared" ca="1" si="9"/>
        <v>206329300</v>
      </c>
      <c r="W8" s="141">
        <f ca="1">IF(B8="","",U8*-1*'General Input'!$D$37)</f>
        <v>-47455738.366094686</v>
      </c>
      <c r="X8" s="140">
        <f t="shared" ca="1" si="10"/>
        <v>-47455700</v>
      </c>
      <c r="Y8" s="141">
        <f t="shared" ca="1" si="11"/>
        <v>158873558.87779525</v>
      </c>
      <c r="Z8" s="140">
        <f t="shared" ca="1" si="12"/>
        <v>158873600</v>
      </c>
      <c r="AA8" s="140">
        <f t="shared" ca="1" si="13"/>
        <v>161016100</v>
      </c>
      <c r="AB8" s="141">
        <f t="shared" ca="1" si="14"/>
        <v>161016088.39922762</v>
      </c>
      <c r="AC8" s="141">
        <f ca="1">IF(B8="","",AB8/(1+'General Input'!$D$38)^('Cash Flows'!B8-'Cash Flows'!$B$4)+AC7)</f>
        <v>156759735.68012059</v>
      </c>
      <c r="AD8" s="135">
        <f>IF(B8="","",IF(B8=SUM('General Input'!$D$11,'General Input'!$D$7,'General Input'!$D$8),0,IF(B8&lt;SUM('General Input'!$D$11,'General Input'!$D$7,'General Input'!$D$8),0,'Cash Flows'!B8-SUM('General Input'!$D$11,'General Input'!$D$7,'General Input'!$D$8))))</f>
        <v>2</v>
      </c>
      <c r="AE8" s="141">
        <f t="shared" ca="1" si="15"/>
        <v>156759700</v>
      </c>
    </row>
    <row r="9" spans="2:31">
      <c r="B9" s="26">
        <f>IF('Input Summary'!A27&gt;0,'Input Summary'!A27,"")</f>
        <v>2029</v>
      </c>
      <c r="C9" s="137">
        <f>IF('Input Summary'!E27="",0,'Input Summary'!E27)</f>
        <v>1</v>
      </c>
      <c r="D9" s="138">
        <f t="shared" si="0"/>
        <v>1</v>
      </c>
      <c r="E9" s="139">
        <f>IF(B9="","",IF((B9+1)&gt;SUM('General Input'!D$7:D$8,'General Input'!D$11),VLOOKUP(B9,'Selling Price'!$A$8:$D$58,4,FALSE),""))</f>
        <v>55551</v>
      </c>
      <c r="F9" s="140">
        <f>IF(E9="","",(E9)*'Input Summary'!$C$15*'Input Summary'!E27)</f>
        <v>277755000</v>
      </c>
      <c r="G9" s="140">
        <f t="shared" si="1"/>
        <v>277755000</v>
      </c>
      <c r="H9" s="140">
        <f>IF(B9="","",(-1*IF(ISNA(VLOOKUP(B9,'Total Permanent Investment'!$D$4:$E$6,2,FALSE)),0,VLOOKUP(B9,'Total Permanent Investment'!$D$4:$E$6,2,FALSE)*'Cost Summary'!$H$113)))</f>
        <v>0</v>
      </c>
      <c r="I9" s="140">
        <f t="shared" si="2"/>
        <v>0</v>
      </c>
      <c r="J9" s="140">
        <f ca="1">IF(B9="","",-1*(C10-C9)*'Var Costs &amp; WC'!$K$19)</f>
        <v>0</v>
      </c>
      <c r="K9" s="140">
        <f t="shared" ca="1" si="3"/>
        <v>0</v>
      </c>
      <c r="L9" s="140">
        <f ca="1">IF(B9="","",-1*IF('General Input'!$D$41&gt;0,(1+'General Input'!$D$41)^('Cash Flows'!AD9)*C9*'Cost Summary'!$G$22,(1+'General Input'!$D$39*'Profitability Measures'!$R$40)^('Cash Flows'!AD9)*C9*'Cost Summary'!$G$22))</f>
        <v>-67180601.507431492</v>
      </c>
      <c r="M9" s="140">
        <f t="shared" ca="1" si="4"/>
        <v>-67180600</v>
      </c>
      <c r="N9" s="140">
        <f ca="1">IF(B9="","",IF(B9&lt;SUM('General Input'!$D$11,'General Input'!$D$7:$D$8),0,-1*IF('General Input'!$D$42&gt;0,'Cost Summary'!$G$66*(1+'General Input'!$D$42)^('Cash Flows'!B9-SUM('General Input'!$D$11,'General Input'!$D$7:$D$8)),'Cost Summary'!$G$66*(1+'General Input'!$D$39*'Profitability Measures'!$R$40)^('Cash Flows'!B9-SUM('General Input'!$D$11,'General Input'!$D$7:$D$8))))-IF(B9='Cost Summary'!$E$68,'Cost Summary'!$G$68,0))</f>
        <v>-3834651.0581131405</v>
      </c>
      <c r="O9" s="140">
        <f t="shared" ca="1" si="5"/>
        <v>-71015252.565544635</v>
      </c>
      <c r="P9" s="15">
        <f>IF(B9="","",IF('Input Summary'!F27="",0,'Input Summary'!F27))</f>
        <v>6.1769999999999999E-2</v>
      </c>
      <c r="Q9" s="140">
        <f t="shared" ca="1" si="6"/>
        <v>-3834700</v>
      </c>
      <c r="R9" s="140">
        <f ca="1">IF(B9="","",-1*IF(P9="",0,'Cost Summary'!$H$103*'Cash Flows'!P9))</f>
        <v>-1982088.4909222252</v>
      </c>
      <c r="S9" s="140">
        <f t="shared" ca="1" si="7"/>
        <v>-1982100</v>
      </c>
      <c r="T9" s="140">
        <f>IF(B9="","",-1*IF(E9="",0,'Fixed Costs'!$E$40))</f>
        <v>0</v>
      </c>
      <c r="U9" s="141">
        <f t="shared" ca="1" si="8"/>
        <v>204757658.94353315</v>
      </c>
      <c r="V9" s="140">
        <f t="shared" ca="1" si="9"/>
        <v>204757700</v>
      </c>
      <c r="W9" s="141">
        <f ca="1">IF(B9="","",U9*-1*'General Input'!$D$37)</f>
        <v>-47094261.557012625</v>
      </c>
      <c r="X9" s="140">
        <f t="shared" ca="1" si="10"/>
        <v>-47094300</v>
      </c>
      <c r="Y9" s="141">
        <f t="shared" ca="1" si="11"/>
        <v>157663397.38652053</v>
      </c>
      <c r="Z9" s="140">
        <f t="shared" ca="1" si="12"/>
        <v>157663400</v>
      </c>
      <c r="AA9" s="140">
        <f t="shared" ca="1" si="13"/>
        <v>159645500</v>
      </c>
      <c r="AB9" s="141">
        <f t="shared" ca="1" si="14"/>
        <v>159645485.87744275</v>
      </c>
      <c r="AC9" s="141">
        <f ca="1">IF(B9="","",AB9/(1+'General Input'!$D$38)^('Cash Flows'!B9-'Cash Flows'!$B$4)+AC8)</f>
        <v>236131757.15377682</v>
      </c>
      <c r="AD9" s="135">
        <f>IF(B9="","",IF(B9=SUM('General Input'!$D$11,'General Input'!$D$7,'General Input'!$D$8),0,IF(B9&lt;SUM('General Input'!$D$11,'General Input'!$D$7,'General Input'!$D$8),0,'Cash Flows'!B9-SUM('General Input'!$D$11,'General Input'!$D$7,'General Input'!$D$8))))</f>
        <v>3</v>
      </c>
      <c r="AE9" s="141">
        <f t="shared" ca="1" si="15"/>
        <v>236131800</v>
      </c>
    </row>
    <row r="10" spans="2:31">
      <c r="B10" s="26">
        <f>IF('Input Summary'!A28&gt;0,'Input Summary'!A28,"")</f>
        <v>2030</v>
      </c>
      <c r="C10" s="137">
        <f>IF('Input Summary'!E28="",0,'Input Summary'!E28)</f>
        <v>1</v>
      </c>
      <c r="D10" s="138">
        <f t="shared" si="0"/>
        <v>1</v>
      </c>
      <c r="E10" s="139">
        <f>IF(B10="","",IF((B10+1)&gt;SUM('General Input'!D$7:D$8,'General Input'!D$11),VLOOKUP(B10,'Selling Price'!$A$8:$D$58,4,FALSE),""))</f>
        <v>55551</v>
      </c>
      <c r="F10" s="140">
        <f>IF(E10="","",(E10)*'Input Summary'!$C$15*'Input Summary'!E28)</f>
        <v>277755000</v>
      </c>
      <c r="G10" s="140">
        <f t="shared" si="1"/>
        <v>277755000</v>
      </c>
      <c r="H10" s="140">
        <f>IF(B10="","",(-1*IF(ISNA(VLOOKUP(B10,'Total Permanent Investment'!$D$4:$E$6,2,FALSE)),0,VLOOKUP(B10,'Total Permanent Investment'!$D$4:$E$6,2,FALSE)*'Cost Summary'!$H$113)))</f>
        <v>0</v>
      </c>
      <c r="I10" s="140">
        <f t="shared" si="2"/>
        <v>0</v>
      </c>
      <c r="J10" s="140">
        <f ca="1">IF(B10="","",-1*(C11-C10)*'Var Costs &amp; WC'!$K$19)</f>
        <v>0</v>
      </c>
      <c r="K10" s="140">
        <f t="shared" ca="1" si="3"/>
        <v>0</v>
      </c>
      <c r="L10" s="140">
        <f ca="1">IF(B10="","",-1*IF('General Input'!$D$41&gt;0,(1+'General Input'!$D$41)^('Cash Flows'!AD10)*C10*'Cost Summary'!$G$22,(1+'General Input'!$D$39*'Profitability Measures'!$R$40)^('Cash Flows'!AD10)*C10*'Cost Summary'!$G$22))</f>
        <v>-68860116.545117274</v>
      </c>
      <c r="M10" s="140">
        <f t="shared" ca="1" si="4"/>
        <v>-68860100</v>
      </c>
      <c r="N10" s="140">
        <f ca="1">IF(B10="","",IF(B10&lt;SUM('General Input'!$D$11,'General Input'!$D$7:$D$8),0,-1*IF('General Input'!$D$42&gt;0,'Cost Summary'!$G$66*(1+'General Input'!$D$42)^('Cash Flows'!B10-SUM('General Input'!$D$11,'General Input'!$D$7:$D$8)),'Cost Summary'!$G$66*(1+'General Input'!$D$39*'Profitability Measures'!$R$40)^('Cash Flows'!B10-SUM('General Input'!$D$11,'General Input'!$D$7:$D$8))))-IF(B10='Cost Summary'!$E$68,'Cost Summary'!$G$68,0))</f>
        <v>-3930517.3345659683</v>
      </c>
      <c r="O10" s="140">
        <f t="shared" ca="1" si="5"/>
        <v>-72790633.879683241</v>
      </c>
      <c r="P10" s="15">
        <f>IF(B10="","",IF('Input Summary'!F28="",0,'Input Summary'!F28))</f>
        <v>5.713E-2</v>
      </c>
      <c r="Q10" s="140">
        <f t="shared" ca="1" si="6"/>
        <v>-3930500</v>
      </c>
      <c r="R10" s="140">
        <f ca="1">IF(B10="","",-1*IF(P10="",0,'Cost Summary'!$H$103*'Cash Flows'!P10))</f>
        <v>-1833199.2146088185</v>
      </c>
      <c r="S10" s="140">
        <f t="shared" ca="1" si="7"/>
        <v>-1833200</v>
      </c>
      <c r="T10" s="140">
        <f>IF(B10="","",-1*IF(E10="",0,'Fixed Costs'!$E$40))</f>
        <v>0</v>
      </c>
      <c r="U10" s="141">
        <f t="shared" ca="1" si="8"/>
        <v>203131166.90570796</v>
      </c>
      <c r="V10" s="140">
        <f t="shared" ca="1" si="9"/>
        <v>203131200</v>
      </c>
      <c r="W10" s="141">
        <f ca="1">IF(B10="","",U10*-1*'General Input'!$D$37)</f>
        <v>-46720168.388312832</v>
      </c>
      <c r="X10" s="140">
        <f t="shared" ca="1" si="10"/>
        <v>-46720200</v>
      </c>
      <c r="Y10" s="141">
        <f t="shared" ca="1" si="11"/>
        <v>156410998.51739514</v>
      </c>
      <c r="Z10" s="140">
        <f t="shared" ca="1" si="12"/>
        <v>156411000</v>
      </c>
      <c r="AA10" s="140">
        <f t="shared" ca="1" si="13"/>
        <v>158244200</v>
      </c>
      <c r="AB10" s="141">
        <f t="shared" ca="1" si="14"/>
        <v>158244197.73200396</v>
      </c>
      <c r="AC10" s="141">
        <f ca="1">IF(B10="","",AB10/(1+'General Input'!$D$38)^('Cash Flows'!B10-'Cash Flows'!$B$4)+AC9)</f>
        <v>304545090.72620708</v>
      </c>
      <c r="AD10" s="135">
        <f>IF(B10="","",IF(B10=SUM('General Input'!$D$11,'General Input'!$D$7,'General Input'!$D$8),0,IF(B10&lt;SUM('General Input'!$D$11,'General Input'!$D$7,'General Input'!$D$8),0,'Cash Flows'!B10-SUM('General Input'!$D$11,'General Input'!$D$7,'General Input'!$D$8))))</f>
        <v>4</v>
      </c>
      <c r="AE10" s="141">
        <f t="shared" ca="1" si="15"/>
        <v>304545100</v>
      </c>
    </row>
    <row r="11" spans="2:31">
      <c r="B11" s="26">
        <f>IF('Input Summary'!A29&gt;0,'Input Summary'!A29,"")</f>
        <v>2031</v>
      </c>
      <c r="C11" s="137">
        <f>IF('Input Summary'!E29="",0,'Input Summary'!E29)</f>
        <v>1</v>
      </c>
      <c r="D11" s="138">
        <f t="shared" si="0"/>
        <v>1</v>
      </c>
      <c r="E11" s="139">
        <f>IF(B11="","",IF((B11+1)&gt;SUM('General Input'!D$7:D$8,'General Input'!D$11),VLOOKUP(B11,'Selling Price'!$A$8:$D$58,4,FALSE),""))</f>
        <v>55551</v>
      </c>
      <c r="F11" s="140">
        <f>IF(E11="","",(E11)*'Input Summary'!$C$15*'Input Summary'!E29)</f>
        <v>277755000</v>
      </c>
      <c r="G11" s="140">
        <f t="shared" si="1"/>
        <v>277755000</v>
      </c>
      <c r="H11" s="140">
        <f>IF(B11="","",(-1*IF(ISNA(VLOOKUP(B11,'Total Permanent Investment'!$D$4:$E$6,2,FALSE)),0,VLOOKUP(B11,'Total Permanent Investment'!$D$4:$E$6,2,FALSE)*'Cost Summary'!$H$113)))</f>
        <v>0</v>
      </c>
      <c r="I11" s="140">
        <f t="shared" si="2"/>
        <v>0</v>
      </c>
      <c r="J11" s="140">
        <f ca="1">IF(B11="","",-1*(C12-C11)*'Var Costs &amp; WC'!$K$19)</f>
        <v>0</v>
      </c>
      <c r="K11" s="140">
        <f t="shared" ca="1" si="3"/>
        <v>0</v>
      </c>
      <c r="L11" s="140">
        <f ca="1">IF(B11="","",-1*IF('General Input'!$D$41&gt;0,(1+'General Input'!$D$41)^('Cash Flows'!AD11)*C11*'Cost Summary'!$G$22,(1+'General Input'!$D$39*'Profitability Measures'!$R$40)^('Cash Flows'!AD11)*C11*'Cost Summary'!$G$22))</f>
        <v>-70581619.458745211</v>
      </c>
      <c r="M11" s="140">
        <f t="shared" ca="1" si="4"/>
        <v>-70581600</v>
      </c>
      <c r="N11" s="140">
        <f ca="1">IF(B11="","",IF(B11&lt;SUM('General Input'!$D$11,'General Input'!$D$7:$D$8),0,-1*IF('General Input'!$D$42&gt;0,'Cost Summary'!$G$66*(1+'General Input'!$D$42)^('Cash Flows'!B11-SUM('General Input'!$D$11,'General Input'!$D$7:$D$8)),'Cost Summary'!$G$66*(1+'General Input'!$D$39*'Profitability Measures'!$R$40)^('Cash Flows'!B11-SUM('General Input'!$D$11,'General Input'!$D$7:$D$8))))-IF(B11='Cost Summary'!$E$68,'Cost Summary'!$G$68,0))</f>
        <v>-4028780.2679301174</v>
      </c>
      <c r="O11" s="140">
        <f t="shared" ca="1" si="5"/>
        <v>-74610399.726675332</v>
      </c>
      <c r="P11" s="15">
        <f>IF(B11="","",IF('Input Summary'!F29="",0,'Input Summary'!F29))</f>
        <v>5.2850000000000001E-2</v>
      </c>
      <c r="Q11" s="140">
        <f t="shared" ca="1" si="6"/>
        <v>-4028800</v>
      </c>
      <c r="R11" s="140">
        <f ca="1">IF(B11="","",-1*IF(P11="",0,'Cost Summary'!$H$103*'Cash Flows'!P11))</f>
        <v>-1695861.6924921419</v>
      </c>
      <c r="S11" s="140">
        <f t="shared" ca="1" si="7"/>
        <v>-1695900</v>
      </c>
      <c r="T11" s="140">
        <f>IF(B11="","",-1*IF(E11="",0,'Fixed Costs'!$E$40))</f>
        <v>0</v>
      </c>
      <c r="U11" s="141">
        <f t="shared" ca="1" si="8"/>
        <v>201448738.58083254</v>
      </c>
      <c r="V11" s="140">
        <f t="shared" ca="1" si="9"/>
        <v>201448700</v>
      </c>
      <c r="W11" s="141">
        <f ca="1">IF(B11="","",U11*-1*'General Input'!$D$37)</f>
        <v>-46333209.87359149</v>
      </c>
      <c r="X11" s="140">
        <f t="shared" ca="1" si="10"/>
        <v>-46333200</v>
      </c>
      <c r="Y11" s="141">
        <f t="shared" ca="1" si="11"/>
        <v>155115528.70724106</v>
      </c>
      <c r="Z11" s="140">
        <f t="shared" ca="1" si="12"/>
        <v>155115500</v>
      </c>
      <c r="AA11" s="140">
        <f t="shared" ca="1" si="13"/>
        <v>156811400</v>
      </c>
      <c r="AB11" s="141">
        <f t="shared" ca="1" si="14"/>
        <v>156811390.39973319</v>
      </c>
      <c r="AC11" s="141">
        <f ca="1">IF(B11="","",AB11/(1+'General Input'!$D$38)^('Cash Flows'!B11-'Cash Flows'!$B$4)+AC10)</f>
        <v>363496300.65930724</v>
      </c>
      <c r="AD11" s="135">
        <f>IF(B11="","",IF(B11=SUM('General Input'!$D$11,'General Input'!$D$7,'General Input'!$D$8),0,IF(B11&lt;SUM('General Input'!$D$11,'General Input'!$D$7,'General Input'!$D$8),0,'Cash Flows'!B11-SUM('General Input'!$D$11,'General Input'!$D$7,'General Input'!$D$8))))</f>
        <v>5</v>
      </c>
      <c r="AE11" s="141">
        <f t="shared" ca="1" si="15"/>
        <v>363496300</v>
      </c>
    </row>
    <row r="12" spans="2:31">
      <c r="B12" s="26">
        <f>IF('Input Summary'!A30&gt;0,'Input Summary'!A30,"")</f>
        <v>2032</v>
      </c>
      <c r="C12" s="137">
        <f>IF('Input Summary'!E30="",0,'Input Summary'!E30)</f>
        <v>1</v>
      </c>
      <c r="D12" s="138">
        <f t="shared" si="0"/>
        <v>1</v>
      </c>
      <c r="E12" s="139">
        <f>IF(B12="","",IF((B12+1)&gt;SUM('General Input'!D$7:D$8,'General Input'!D$11),VLOOKUP(B12,'Selling Price'!$A$8:$D$58,4,FALSE),""))</f>
        <v>55551</v>
      </c>
      <c r="F12" s="140">
        <f>IF(E12="","",(E12)*'Input Summary'!$C$15*'Input Summary'!E30)</f>
        <v>277755000</v>
      </c>
      <c r="G12" s="140">
        <f t="shared" si="1"/>
        <v>277755000</v>
      </c>
      <c r="H12" s="140">
        <f>IF(B12="","",(-1*IF(ISNA(VLOOKUP(B12,'Total Permanent Investment'!$D$4:$E$6,2,FALSE)),0,VLOOKUP(B12,'Total Permanent Investment'!$D$4:$E$6,2,FALSE)*'Cost Summary'!$H$113)))</f>
        <v>0</v>
      </c>
      <c r="I12" s="140">
        <f t="shared" si="2"/>
        <v>0</v>
      </c>
      <c r="J12" s="140">
        <f ca="1">IF(B12="","",-1*(C13-C12)*'Var Costs &amp; WC'!$K$19)</f>
        <v>0</v>
      </c>
      <c r="K12" s="140">
        <f t="shared" ca="1" si="3"/>
        <v>0</v>
      </c>
      <c r="L12" s="140">
        <f ca="1">IF(B12="","",-1*IF('General Input'!$D$41&gt;0,(1+'General Input'!$D$41)^('Cash Flows'!AD12)*C12*'Cost Summary'!$G$22,(1+'General Input'!$D$39*'Profitability Measures'!$R$40)^('Cash Flows'!AD12)*C12*'Cost Summary'!$G$22))</f>
        <v>-72346159.945213825</v>
      </c>
      <c r="M12" s="140">
        <f t="shared" ca="1" si="4"/>
        <v>-72346200</v>
      </c>
      <c r="N12" s="140">
        <f ca="1">IF(B12="","",IF(B12&lt;SUM('General Input'!$D$11,'General Input'!$D$7:$D$8),0,-1*IF('General Input'!$D$42&gt;0,'Cost Summary'!$G$66*(1+'General Input'!$D$42)^('Cash Flows'!B12-SUM('General Input'!$D$11,'General Input'!$D$7:$D$8)),'Cost Summary'!$G$66*(1+'General Input'!$D$39*'Profitability Measures'!$R$40)^('Cash Flows'!B12-SUM('General Input'!$D$11,'General Input'!$D$7:$D$8))))-IF(B12='Cost Summary'!$E$68,'Cost Summary'!$G$68,0))</f>
        <v>-4129499.7746283701</v>
      </c>
      <c r="O12" s="140">
        <f t="shared" ca="1" si="5"/>
        <v>-76475659.719842196</v>
      </c>
      <c r="P12" s="15">
        <f>IF(B12="","",IF('Input Summary'!F30="",0,'Input Summary'!F30))</f>
        <v>4.888E-2</v>
      </c>
      <c r="Q12" s="140">
        <f t="shared" ca="1" si="6"/>
        <v>-4129500</v>
      </c>
      <c r="R12" s="140">
        <f ca="1">IF(B12="","",-1*IF(P12="",0,'Cost Summary'!$H$103*'Cash Flows'!P12))</f>
        <v>-1568471.5142670935</v>
      </c>
      <c r="S12" s="140">
        <f t="shared" ca="1" si="7"/>
        <v>-1568500</v>
      </c>
      <c r="T12" s="140">
        <f>IF(B12="","",-1*IF(E12="",0,'Fixed Costs'!$E$40))</f>
        <v>0</v>
      </c>
      <c r="U12" s="141">
        <f t="shared" ca="1" si="8"/>
        <v>199710868.76589072</v>
      </c>
      <c r="V12" s="140">
        <f t="shared" ca="1" si="9"/>
        <v>199710900</v>
      </c>
      <c r="W12" s="141">
        <f ca="1">IF(B12="","",U12*-1*'General Input'!$D$37)</f>
        <v>-45933499.816154867</v>
      </c>
      <c r="X12" s="140">
        <f t="shared" ca="1" si="10"/>
        <v>-45933500</v>
      </c>
      <c r="Y12" s="141">
        <f t="shared" ca="1" si="11"/>
        <v>153777368.94973585</v>
      </c>
      <c r="Z12" s="140">
        <f t="shared" ca="1" si="12"/>
        <v>153777400</v>
      </c>
      <c r="AA12" s="140">
        <f t="shared" ca="1" si="13"/>
        <v>155345800</v>
      </c>
      <c r="AB12" s="141">
        <f t="shared" ca="1" si="14"/>
        <v>155345840.46400294</v>
      </c>
      <c r="AC12" s="141">
        <f ca="1">IF(B12="","",AB12/(1+'General Input'!$D$38)^('Cash Flows'!B12-'Cash Flows'!$B$4)+AC11)</f>
        <v>414279131.46661353</v>
      </c>
      <c r="AD12" s="135">
        <f>IF(B12="","",IF(B12=SUM('General Input'!$D$11,'General Input'!$D$7,'General Input'!$D$8),0,IF(B12&lt;SUM('General Input'!$D$11,'General Input'!$D$7,'General Input'!$D$8),0,'Cash Flows'!B12-SUM('General Input'!$D$11,'General Input'!$D$7,'General Input'!$D$8))))</f>
        <v>6</v>
      </c>
      <c r="AE12" s="141">
        <f t="shared" ca="1" si="15"/>
        <v>414279100</v>
      </c>
    </row>
    <row r="13" spans="2:31">
      <c r="B13" s="26">
        <f>IF('Input Summary'!A31&gt;0,'Input Summary'!A31,"")</f>
        <v>2033</v>
      </c>
      <c r="C13" s="137">
        <f>IF('Input Summary'!E31="",0,'Input Summary'!E31)</f>
        <v>1</v>
      </c>
      <c r="D13" s="138">
        <f t="shared" si="0"/>
        <v>1</v>
      </c>
      <c r="E13" s="139">
        <f>IF(B13="","",IF((B13+1)&gt;SUM('General Input'!D$7:D$8,'General Input'!D$11),VLOOKUP(B13,'Selling Price'!$A$8:$D$58,4,FALSE),""))</f>
        <v>55551</v>
      </c>
      <c r="F13" s="140">
        <f>IF(E13="","",(E13)*'Input Summary'!$C$15*'Input Summary'!E31)</f>
        <v>277755000</v>
      </c>
      <c r="G13" s="140">
        <f t="shared" si="1"/>
        <v>277755000</v>
      </c>
      <c r="H13" s="140">
        <f>IF(B13="","",(-1*IF(ISNA(VLOOKUP(B13,'Total Permanent Investment'!$D$4:$E$6,2,FALSE)),0,VLOOKUP(B13,'Total Permanent Investment'!$D$4:$E$6,2,FALSE)*'Cost Summary'!$H$113)))</f>
        <v>0</v>
      </c>
      <c r="I13" s="140">
        <f t="shared" si="2"/>
        <v>0</v>
      </c>
      <c r="J13" s="140">
        <f ca="1">IF(B13="","",-1*(C14-C13)*'Var Costs &amp; WC'!$K$19)</f>
        <v>0</v>
      </c>
      <c r="K13" s="140">
        <f t="shared" ca="1" si="3"/>
        <v>0</v>
      </c>
      <c r="L13" s="140">
        <f ca="1">IF(B13="","",-1*IF('General Input'!$D$41&gt;0,(1+'General Input'!$D$41)^('Cash Flows'!AD13)*C13*'Cost Summary'!$G$22,(1+'General Input'!$D$39*'Profitability Measures'!$R$40)^('Cash Flows'!AD13)*C13*'Cost Summary'!$G$22))</f>
        <v>-74154813.943844184</v>
      </c>
      <c r="M13" s="140">
        <f t="shared" ca="1" si="4"/>
        <v>-74154800</v>
      </c>
      <c r="N13" s="140">
        <f ca="1">IF(B13="","",IF(B13&lt;SUM('General Input'!$D$11,'General Input'!$D$7:$D$8),0,-1*IF('General Input'!$D$42&gt;0,'Cost Summary'!$G$66*(1+'General Input'!$D$42)^('Cash Flows'!B13-SUM('General Input'!$D$11,'General Input'!$D$7:$D$8)),'Cost Summary'!$G$66*(1+'General Input'!$D$39*'Profitability Measures'!$R$40)^('Cash Flows'!B13-SUM('General Input'!$D$11,'General Input'!$D$7:$D$8))))-IF(B13='Cost Summary'!$E$68,'Cost Summary'!$G$68,0))</f>
        <v>-4232737.268994079</v>
      </c>
      <c r="O13" s="140">
        <f t="shared" ca="1" si="5"/>
        <v>-78387551.212838262</v>
      </c>
      <c r="P13" s="15">
        <f>IF(B13="","",IF('Input Summary'!F31="",0,'Input Summary'!F31))</f>
        <v>4.5220000000000003E-2</v>
      </c>
      <c r="Q13" s="140">
        <f t="shared" ca="1" si="6"/>
        <v>-4232700</v>
      </c>
      <c r="R13" s="140">
        <f ca="1">IF(B13="","",-1*IF(P13="",0,'Cost Summary'!$H$103*'Cash Flows'!P13))</f>
        <v>-1451028.6799336737</v>
      </c>
      <c r="S13" s="140">
        <f t="shared" ca="1" si="7"/>
        <v>-1451000</v>
      </c>
      <c r="T13" s="140">
        <f>IF(B13="","",-1*IF(E13="",0,'Fixed Costs'!$E$40))</f>
        <v>0</v>
      </c>
      <c r="U13" s="141">
        <f t="shared" ca="1" si="8"/>
        <v>197916420.10722804</v>
      </c>
      <c r="V13" s="140">
        <f t="shared" ca="1" si="9"/>
        <v>197916400</v>
      </c>
      <c r="W13" s="141">
        <f ca="1">IF(B13="","",U13*-1*'General Input'!$D$37)</f>
        <v>-45520776.624662451</v>
      </c>
      <c r="X13" s="140">
        <f t="shared" ca="1" si="10"/>
        <v>-45520800</v>
      </c>
      <c r="Y13" s="141">
        <f t="shared" ca="1" si="11"/>
        <v>152395643.48256558</v>
      </c>
      <c r="Z13" s="140">
        <f t="shared" ca="1" si="12"/>
        <v>152395600</v>
      </c>
      <c r="AA13" s="140">
        <f t="shared" ca="1" si="13"/>
        <v>153846700</v>
      </c>
      <c r="AB13" s="141">
        <f t="shared" ca="1" si="14"/>
        <v>153846672.16249925</v>
      </c>
      <c r="AC13" s="141">
        <f ca="1">IF(B13="","",AB13/(1+'General Input'!$D$38)^('Cash Flows'!B13-'Cash Flows'!$B$4)+AC12)</f>
        <v>458011957.57987511</v>
      </c>
      <c r="AD13" s="135">
        <f>IF(B13="","",IF(B13=SUM('General Input'!$D$11,'General Input'!$D$7,'General Input'!$D$8),0,IF(B13&lt;SUM('General Input'!$D$11,'General Input'!$D$7,'General Input'!$D$8),0,'Cash Flows'!B13-SUM('General Input'!$D$11,'General Input'!$D$7,'General Input'!$D$8))))</f>
        <v>7</v>
      </c>
      <c r="AE13" s="141">
        <f t="shared" ca="1" si="15"/>
        <v>458012000</v>
      </c>
    </row>
    <row r="14" spans="2:31">
      <c r="B14" s="26">
        <f>IF('Input Summary'!A32&gt;0,'Input Summary'!A32,"")</f>
        <v>2034</v>
      </c>
      <c r="C14" s="137">
        <f>IF('Input Summary'!E32="",0,'Input Summary'!E32)</f>
        <v>1</v>
      </c>
      <c r="D14" s="138">
        <f t="shared" si="0"/>
        <v>1</v>
      </c>
      <c r="E14" s="139">
        <f>IF(B14="","",IF((B14+1)&gt;SUM('General Input'!D$7:D$8,'General Input'!D$11),VLOOKUP(B14,'Selling Price'!$A$8:$D$58,4,FALSE),""))</f>
        <v>55551</v>
      </c>
      <c r="F14" s="140">
        <f>IF(E14="","",(E14)*'Input Summary'!$C$15*'Input Summary'!E32)</f>
        <v>277755000</v>
      </c>
      <c r="G14" s="140">
        <f t="shared" si="1"/>
        <v>277755000</v>
      </c>
      <c r="H14" s="140">
        <f>IF(B14="","",(-1*IF(ISNA(VLOOKUP(B14,'Total Permanent Investment'!$D$4:$E$6,2,FALSE)),0,VLOOKUP(B14,'Total Permanent Investment'!$D$4:$E$6,2,FALSE)*'Cost Summary'!$H$113)))</f>
        <v>0</v>
      </c>
      <c r="I14" s="140">
        <f t="shared" si="2"/>
        <v>0</v>
      </c>
      <c r="J14" s="140">
        <f ca="1">IF(B14="","",-1*(C15-C14)*'Var Costs &amp; WC'!$K$19)</f>
        <v>0</v>
      </c>
      <c r="K14" s="140">
        <f t="shared" ca="1" si="3"/>
        <v>0</v>
      </c>
      <c r="L14" s="140">
        <f ca="1">IF(B14="","",-1*IF('General Input'!$D$41&gt;0,(1+'General Input'!$D$41)^('Cash Flows'!AD14)*C14*'Cost Summary'!$G$22,(1+'General Input'!$D$39*'Profitability Measures'!$R$40)^('Cash Flows'!AD14)*C14*'Cost Summary'!$G$22))</f>
        <v>-76008684.29244028</v>
      </c>
      <c r="M14" s="140">
        <f t="shared" ca="1" si="4"/>
        <v>-76008700</v>
      </c>
      <c r="N14" s="140">
        <f ca="1">IF(B14="","",IF(B14&lt;SUM('General Input'!$D$11,'General Input'!$D$7:$D$8),0,-1*IF('General Input'!$D$42&gt;0,'Cost Summary'!$G$66*(1+'General Input'!$D$42)^('Cash Flows'!B14-SUM('General Input'!$D$11,'General Input'!$D$7:$D$8)),'Cost Summary'!$G$66*(1+'General Input'!$D$39*'Profitability Measures'!$R$40)^('Cash Flows'!B14-SUM('General Input'!$D$11,'General Input'!$D$7:$D$8))))-IF(B14='Cost Summary'!$E$68,'Cost Summary'!$G$68,0))</f>
        <v>-4338555.7007189309</v>
      </c>
      <c r="O14" s="140">
        <f t="shared" ca="1" si="5"/>
        <v>-80347239.993159205</v>
      </c>
      <c r="P14" s="15">
        <f>IF(B14="","",IF('Input Summary'!F32="",0,'Input Summary'!F32))</f>
        <v>4.462E-2</v>
      </c>
      <c r="Q14" s="140">
        <f t="shared" ca="1" si="6"/>
        <v>-4338600</v>
      </c>
      <c r="R14" s="140">
        <f ca="1">IF(B14="","",-1*IF(P14="",0,'Cost Summary'!$H$103*'Cash Flows'!P14))</f>
        <v>-1431775.7562724573</v>
      </c>
      <c r="S14" s="140">
        <f t="shared" ca="1" si="7"/>
        <v>-1431800</v>
      </c>
      <c r="T14" s="140">
        <f>IF(B14="","",-1*IF(E14="",0,'Fixed Costs'!$E$40))</f>
        <v>0</v>
      </c>
      <c r="U14" s="141">
        <f t="shared" ca="1" si="8"/>
        <v>195975984.2505683</v>
      </c>
      <c r="V14" s="140">
        <f t="shared" ca="1" si="9"/>
        <v>195976000</v>
      </c>
      <c r="W14" s="141">
        <f ca="1">IF(B14="","",U14*-1*'General Input'!$D$37)</f>
        <v>-45074476.377630711</v>
      </c>
      <c r="X14" s="140">
        <f t="shared" ca="1" si="10"/>
        <v>-45074500</v>
      </c>
      <c r="Y14" s="141">
        <f t="shared" ca="1" si="11"/>
        <v>150901507.87293759</v>
      </c>
      <c r="Z14" s="140">
        <f t="shared" ca="1" si="12"/>
        <v>150901500</v>
      </c>
      <c r="AA14" s="140">
        <f t="shared" ca="1" si="13"/>
        <v>152333300</v>
      </c>
      <c r="AB14" s="141">
        <f t="shared" ca="1" si="14"/>
        <v>152333283.62921005</v>
      </c>
      <c r="AC14" s="141">
        <f ca="1">IF(B14="","",AB14/(1+'General Input'!$D$38)^('Cash Flows'!B14-'Cash Flows'!$B$4)+AC13)</f>
        <v>495666415.52634025</v>
      </c>
      <c r="AD14" s="135">
        <f>IF(B14="","",IF(B14=SUM('General Input'!$D$11,'General Input'!$D$7,'General Input'!$D$8),0,IF(B14&lt;SUM('General Input'!$D$11,'General Input'!$D$7,'General Input'!$D$8),0,'Cash Flows'!B14-SUM('General Input'!$D$11,'General Input'!$D$7,'General Input'!$D$8))))</f>
        <v>8</v>
      </c>
      <c r="AE14" s="141">
        <f t="shared" ca="1" si="15"/>
        <v>495666400</v>
      </c>
    </row>
    <row r="15" spans="2:31">
      <c r="B15" s="26">
        <f>IF('Input Summary'!A33&gt;0,'Input Summary'!A33,"")</f>
        <v>2035</v>
      </c>
      <c r="C15" s="137">
        <f>IF('Input Summary'!E33="",0,'Input Summary'!E33)</f>
        <v>1</v>
      </c>
      <c r="D15" s="138">
        <f t="shared" si="0"/>
        <v>1</v>
      </c>
      <c r="E15" s="139">
        <f>IF(B15="","",IF((B15+1)&gt;SUM('General Input'!D$7:D$8,'General Input'!D$11),VLOOKUP(B15,'Selling Price'!$A$8:$D$58,4,FALSE),""))</f>
        <v>55551</v>
      </c>
      <c r="F15" s="140">
        <f>IF(E15="","",(E15)*'Input Summary'!$C$15*'Input Summary'!E33)</f>
        <v>277755000</v>
      </c>
      <c r="G15" s="140">
        <f t="shared" si="1"/>
        <v>277755000</v>
      </c>
      <c r="H15" s="140">
        <f>IF(B15="","",(-1*IF(ISNA(VLOOKUP(B15,'Total Permanent Investment'!$D$4:$E$6,2,FALSE)),0,VLOOKUP(B15,'Total Permanent Investment'!$D$4:$E$6,2,FALSE)*'Cost Summary'!$H$113)))</f>
        <v>0</v>
      </c>
      <c r="I15" s="140">
        <f t="shared" si="2"/>
        <v>0</v>
      </c>
      <c r="J15" s="140">
        <f ca="1">IF(B15="","",-1*(C16-C15)*'Var Costs &amp; WC'!$K$19)</f>
        <v>0</v>
      </c>
      <c r="K15" s="140">
        <f t="shared" ca="1" si="3"/>
        <v>0</v>
      </c>
      <c r="L15" s="140">
        <f ca="1">IF(B15="","",-1*IF('General Input'!$D$41&gt;0,(1+'General Input'!$D$41)^('Cash Flows'!AD15)*C15*'Cost Summary'!$G$22,(1+'General Input'!$D$39*'Profitability Measures'!$R$40)^('Cash Flows'!AD15)*C15*'Cost Summary'!$G$22))</f>
        <v>-77908901.399751276</v>
      </c>
      <c r="M15" s="140">
        <f t="shared" ca="1" si="4"/>
        <v>-77908900</v>
      </c>
      <c r="N15" s="140">
        <f ca="1">IF(B15="","",IF(B15&lt;SUM('General Input'!$D$11,'General Input'!$D$7:$D$8),0,-1*IF('General Input'!$D$42&gt;0,'Cost Summary'!$G$66*(1+'General Input'!$D$42)^('Cash Flows'!B15-SUM('General Input'!$D$11,'General Input'!$D$7:$D$8)),'Cost Summary'!$G$66*(1+'General Input'!$D$39*'Profitability Measures'!$R$40)^('Cash Flows'!B15-SUM('General Input'!$D$11,'General Input'!$D$7:$D$8))))-IF(B15='Cost Summary'!$E$68,'Cost Summary'!$G$68,0))</f>
        <v>-4447019.5932369037</v>
      </c>
      <c r="O15" s="140">
        <f t="shared" ca="1" si="5"/>
        <v>-82355920.992988184</v>
      </c>
      <c r="P15" s="15">
        <f>IF(B15="","",IF('Input Summary'!F33="",0,'Input Summary'!F33))</f>
        <v>4.4610000000000004E-2</v>
      </c>
      <c r="Q15" s="140">
        <f t="shared" ca="1" si="6"/>
        <v>-4447000</v>
      </c>
      <c r="R15" s="140">
        <f ca="1">IF(B15="","",-1*IF(P15="",0,'Cost Summary'!$H$103*'Cash Flows'!P15))</f>
        <v>-1431454.8742114371</v>
      </c>
      <c r="S15" s="140">
        <f t="shared" ca="1" si="7"/>
        <v>-1431500</v>
      </c>
      <c r="T15" s="140">
        <f>IF(B15="","",-1*IF(E15="",0,'Fixed Costs'!$E$40))</f>
        <v>0</v>
      </c>
      <c r="U15" s="141">
        <f t="shared" ca="1" si="8"/>
        <v>193967624.1328004</v>
      </c>
      <c r="V15" s="140">
        <f t="shared" ca="1" si="9"/>
        <v>193967600</v>
      </c>
      <c r="W15" s="141">
        <f ca="1">IF(B15="","",U15*-1*'General Input'!$D$37)</f>
        <v>-44612553.550544091</v>
      </c>
      <c r="X15" s="140">
        <f t="shared" ca="1" si="10"/>
        <v>-44612600</v>
      </c>
      <c r="Y15" s="141">
        <f t="shared" ca="1" si="11"/>
        <v>149355070.58225632</v>
      </c>
      <c r="Z15" s="140">
        <f t="shared" ca="1" si="12"/>
        <v>149355100</v>
      </c>
      <c r="AA15" s="140">
        <f t="shared" ca="1" si="13"/>
        <v>150786500</v>
      </c>
      <c r="AB15" s="141">
        <f t="shared" ca="1" si="14"/>
        <v>150786525.45646775</v>
      </c>
      <c r="AC15" s="141">
        <f ca="1">IF(B15="","",AB15/(1+'General Input'!$D$38)^('Cash Flows'!B15-'Cash Flows'!$B$4)+AC14)</f>
        <v>528076957.24990046</v>
      </c>
      <c r="AD15" s="135">
        <f>IF(B15="","",IF(B15=SUM('General Input'!$D$11,'General Input'!$D$7,'General Input'!$D$8),0,IF(B15&lt;SUM('General Input'!$D$11,'General Input'!$D$7,'General Input'!$D$8),0,'Cash Flows'!B15-SUM('General Input'!$D$11,'General Input'!$D$7,'General Input'!$D$8))))</f>
        <v>9</v>
      </c>
      <c r="AE15" s="141">
        <f t="shared" ca="1" si="15"/>
        <v>528077000</v>
      </c>
    </row>
    <row r="16" spans="2:31">
      <c r="B16" s="26">
        <f>IF('Input Summary'!A34&gt;0,'Input Summary'!A34,"")</f>
        <v>2036</v>
      </c>
      <c r="C16" s="137">
        <f>IF('Input Summary'!E34="",0,'Input Summary'!E34)</f>
        <v>1</v>
      </c>
      <c r="D16" s="138">
        <f t="shared" si="0"/>
        <v>1</v>
      </c>
      <c r="E16" s="139">
        <f>IF(B16="","",IF((B16+1)&gt;SUM('General Input'!D$7:D$8,'General Input'!D$11),VLOOKUP(B16,'Selling Price'!$A$8:$D$58,4,FALSE),""))</f>
        <v>55551</v>
      </c>
      <c r="F16" s="140">
        <f>IF(E16="","",(E16)*'Input Summary'!$C$15*'Input Summary'!E34)</f>
        <v>277755000</v>
      </c>
      <c r="G16" s="140">
        <f t="shared" si="1"/>
        <v>277755000</v>
      </c>
      <c r="H16" s="140">
        <f>IF(B16="","",(-1*IF(ISNA(VLOOKUP(B16,'Total Permanent Investment'!$D$4:$E$6,2,FALSE)),0,VLOOKUP(B16,'Total Permanent Investment'!$D$4:$E$6,2,FALSE)*'Cost Summary'!$H$113)))</f>
        <v>0</v>
      </c>
      <c r="I16" s="140">
        <f t="shared" si="2"/>
        <v>0</v>
      </c>
      <c r="J16" s="140">
        <f ca="1">IF(B16="","",-1*(C17-C16)*'Var Costs &amp; WC'!$K$19)</f>
        <v>0</v>
      </c>
      <c r="K16" s="140">
        <f t="shared" ca="1" si="3"/>
        <v>0</v>
      </c>
      <c r="L16" s="140">
        <f ca="1">IF(B16="","",-1*IF('General Input'!$D$41&gt;0,(1+'General Input'!$D$41)^('Cash Flows'!AD16)*C16*'Cost Summary'!$G$22,(1+'General Input'!$D$39*'Profitability Measures'!$R$40)^('Cash Flows'!AD16)*C16*'Cost Summary'!$G$22))</f>
        <v>-79856623.934745058</v>
      </c>
      <c r="M16" s="140">
        <f t="shared" ca="1" si="4"/>
        <v>-79856600</v>
      </c>
      <c r="N16" s="140">
        <f ca="1">IF(B16="","",IF(B16&lt;SUM('General Input'!$D$11,'General Input'!$D$7:$D$8),0,-1*IF('General Input'!$D$42&gt;0,'Cost Summary'!$G$66*(1+'General Input'!$D$42)^('Cash Flows'!B16-SUM('General Input'!$D$11,'General Input'!$D$7:$D$8)),'Cost Summary'!$G$66*(1+'General Input'!$D$39*'Profitability Measures'!$R$40)^('Cash Flows'!B16-SUM('General Input'!$D$11,'General Input'!$D$7:$D$8))))-IF(B16='Cost Summary'!$E$68,'Cost Summary'!$G$68,0))</f>
        <v>-4558195.083067826</v>
      </c>
      <c r="O16" s="140">
        <f t="shared" ca="1" si="5"/>
        <v>-84414819.017812878</v>
      </c>
      <c r="P16" s="15">
        <f>IF(B16="","",IF('Input Summary'!F34="",0,'Input Summary'!F34))</f>
        <v>4.462E-2</v>
      </c>
      <c r="Q16" s="140">
        <f t="shared" ca="1" si="6"/>
        <v>-4558200</v>
      </c>
      <c r="R16" s="140">
        <f ca="1">IF(B16="","",-1*IF(P16="",0,'Cost Summary'!$H$103*'Cash Flows'!P16))</f>
        <v>-1431775.7562724573</v>
      </c>
      <c r="S16" s="140">
        <f t="shared" ca="1" si="7"/>
        <v>-1431800</v>
      </c>
      <c r="T16" s="140">
        <f>IF(B16="","",-1*IF(E16="",0,'Fixed Costs'!$E$40))</f>
        <v>0</v>
      </c>
      <c r="U16" s="141">
        <f t="shared" ca="1" si="8"/>
        <v>191908405.22591463</v>
      </c>
      <c r="V16" s="140">
        <f t="shared" ca="1" si="9"/>
        <v>191908400</v>
      </c>
      <c r="W16" s="141">
        <f ca="1">IF(B16="","",U16*-1*'General Input'!$D$37)</f>
        <v>-44138933.201960362</v>
      </c>
      <c r="X16" s="140">
        <f t="shared" ca="1" si="10"/>
        <v>-44138900</v>
      </c>
      <c r="Y16" s="141">
        <f t="shared" ca="1" si="11"/>
        <v>147769472.02395427</v>
      </c>
      <c r="Z16" s="140">
        <f t="shared" ca="1" si="12"/>
        <v>147769500</v>
      </c>
      <c r="AA16" s="140">
        <f t="shared" ca="1" si="13"/>
        <v>149201200</v>
      </c>
      <c r="AB16" s="141">
        <f t="shared" ca="1" si="14"/>
        <v>149201247.78022674</v>
      </c>
      <c r="AC16" s="141">
        <f ca="1">IF(B16="","",AB16/(1+'General Input'!$D$38)^('Cash Flows'!B16-'Cash Flows'!$B$4)+AC15)</f>
        <v>555963737.27679729</v>
      </c>
      <c r="AD16" s="135">
        <f>IF(B16="","",IF(B16=SUM('General Input'!$D$11,'General Input'!$D$7,'General Input'!$D$8),0,IF(B16&lt;SUM('General Input'!$D$11,'General Input'!$D$7,'General Input'!$D$8),0,'Cash Flows'!B16-SUM('General Input'!$D$11,'General Input'!$D$7,'General Input'!$D$8))))</f>
        <v>10</v>
      </c>
      <c r="AE16" s="141">
        <f t="shared" ca="1" si="15"/>
        <v>555963700</v>
      </c>
    </row>
    <row r="17" spans="2:31">
      <c r="B17" s="26">
        <f>IF('Input Summary'!A35&gt;0,'Input Summary'!A35,"")</f>
        <v>2037</v>
      </c>
      <c r="C17" s="137">
        <f>IF('Input Summary'!E35="",0,'Input Summary'!E35)</f>
        <v>1</v>
      </c>
      <c r="D17" s="138">
        <f t="shared" si="0"/>
        <v>1</v>
      </c>
      <c r="E17" s="139">
        <f>IF(B17="","",IF((B17+1)&gt;SUM('General Input'!D$7:D$8,'General Input'!D$11),VLOOKUP(B17,'Selling Price'!$A$8:$D$58,4,FALSE),""))</f>
        <v>55551</v>
      </c>
      <c r="F17" s="140">
        <f>IF(E17="","",(E17)*'Input Summary'!$C$15*'Input Summary'!E35)</f>
        <v>277755000</v>
      </c>
      <c r="G17" s="140">
        <f t="shared" si="1"/>
        <v>277755000</v>
      </c>
      <c r="H17" s="140">
        <f>IF(B17="","",(-1*IF(ISNA(VLOOKUP(B17,'Total Permanent Investment'!$D$4:$E$6,2,FALSE)),0,VLOOKUP(B17,'Total Permanent Investment'!$D$4:$E$6,2,FALSE)*'Cost Summary'!$H$113)))</f>
        <v>0</v>
      </c>
      <c r="I17" s="140">
        <f t="shared" si="2"/>
        <v>0</v>
      </c>
      <c r="J17" s="140">
        <f ca="1">IF(B17="","",-1*(C18-C17)*'Var Costs &amp; WC'!$K$19)</f>
        <v>0</v>
      </c>
      <c r="K17" s="140">
        <f t="shared" ca="1" si="3"/>
        <v>0</v>
      </c>
      <c r="L17" s="140">
        <f ca="1">IF(B17="","",-1*IF('General Input'!$D$41&gt;0,(1+'General Input'!$D$41)^('Cash Flows'!AD17)*C17*'Cost Summary'!$G$22,(1+'General Input'!$D$39*'Profitability Measures'!$R$40)^('Cash Flows'!AD17)*C17*'Cost Summary'!$G$22))</f>
        <v>-81853039.533113673</v>
      </c>
      <c r="M17" s="140">
        <f t="shared" ca="1" si="4"/>
        <v>-81853000</v>
      </c>
      <c r="N17" s="140">
        <f ca="1">IF(B17="","",IF(B17&lt;SUM('General Input'!$D$11,'General Input'!$D$7:$D$8),0,-1*IF('General Input'!$D$42&gt;0,'Cost Summary'!$G$66*(1+'General Input'!$D$42)^('Cash Flows'!B17-SUM('General Input'!$D$11,'General Input'!$D$7:$D$8)),'Cost Summary'!$G$66*(1+'General Input'!$D$39*'Profitability Measures'!$R$40)^('Cash Flows'!B17-SUM('General Input'!$D$11,'General Input'!$D$7:$D$8))))-IF(B17='Cost Summary'!$E$68,'Cost Summary'!$G$68,0))</f>
        <v>-4672149.9601445217</v>
      </c>
      <c r="O17" s="140">
        <f t="shared" ca="1" si="5"/>
        <v>-86525189.493258193</v>
      </c>
      <c r="P17" s="15">
        <f>IF(B17="","",IF('Input Summary'!F35="",0,'Input Summary'!F35))</f>
        <v>4.4610000000000004E-2</v>
      </c>
      <c r="Q17" s="140">
        <f t="shared" ca="1" si="6"/>
        <v>-4672100</v>
      </c>
      <c r="R17" s="140">
        <f ca="1">IF(B17="","",-1*IF(P17="",0,'Cost Summary'!$H$103*'Cash Flows'!P17))</f>
        <v>-1431454.8742114371</v>
      </c>
      <c r="S17" s="140">
        <f t="shared" ca="1" si="7"/>
        <v>-1431500</v>
      </c>
      <c r="T17" s="140">
        <f>IF(B17="","",-1*IF(E17="",0,'Fixed Costs'!$E$40))</f>
        <v>0</v>
      </c>
      <c r="U17" s="141">
        <f t="shared" ca="1" si="8"/>
        <v>189798355.63253039</v>
      </c>
      <c r="V17" s="140">
        <f t="shared" ca="1" si="9"/>
        <v>189798400</v>
      </c>
      <c r="W17" s="141">
        <f ca="1">IF(B17="","",U17*-1*'General Input'!$D$37)</f>
        <v>-43653621.795481995</v>
      </c>
      <c r="X17" s="140">
        <f t="shared" ca="1" si="10"/>
        <v>-43653600</v>
      </c>
      <c r="Y17" s="141">
        <f t="shared" ca="1" si="11"/>
        <v>146144733.83704841</v>
      </c>
      <c r="Z17" s="140">
        <f t="shared" ca="1" si="12"/>
        <v>146144700</v>
      </c>
      <c r="AA17" s="140">
        <f t="shared" ca="1" si="13"/>
        <v>147576200</v>
      </c>
      <c r="AB17" s="141">
        <f t="shared" ca="1" si="14"/>
        <v>147576188.71125984</v>
      </c>
      <c r="AC17" s="141">
        <f ca="1">IF(B17="","",AB17/(1+'General Input'!$D$38)^('Cash Flows'!B17-'Cash Flows'!$B$4)+AC16)</f>
        <v>579948993.68325925</v>
      </c>
      <c r="AD17" s="135">
        <f>IF(B17="","",IF(B17=SUM('General Input'!$D$11,'General Input'!$D$7,'General Input'!$D$8),0,IF(B17&lt;SUM('General Input'!$D$11,'General Input'!$D$7,'General Input'!$D$8),0,'Cash Flows'!B17-SUM('General Input'!$D$11,'General Input'!$D$7,'General Input'!$D$8))))</f>
        <v>11</v>
      </c>
      <c r="AE17" s="141">
        <f t="shared" ca="1" si="15"/>
        <v>579949000</v>
      </c>
    </row>
    <row r="18" spans="2:31">
      <c r="B18" s="26">
        <f>IF('Input Summary'!A36&gt;0,'Input Summary'!A36,"")</f>
        <v>2038</v>
      </c>
      <c r="C18" s="137">
        <f>IF('Input Summary'!E36="",0,'Input Summary'!E36)</f>
        <v>1</v>
      </c>
      <c r="D18" s="138">
        <f t="shared" si="0"/>
        <v>1</v>
      </c>
      <c r="E18" s="139">
        <f>IF(B18="","",IF((B18+1)&gt;SUM('General Input'!D$7:D$8,'General Input'!D$11),VLOOKUP(B18,'Selling Price'!$A$8:$D$58,4,FALSE),""))</f>
        <v>55551</v>
      </c>
      <c r="F18" s="140">
        <f>IF(E18="","",(E18)*'Input Summary'!$C$15*'Input Summary'!E36)</f>
        <v>277755000</v>
      </c>
      <c r="G18" s="140">
        <f t="shared" si="1"/>
        <v>277755000</v>
      </c>
      <c r="H18" s="140">
        <f>IF(B18="","",(-1*IF(ISNA(VLOOKUP(B18,'Total Permanent Investment'!$D$4:$E$6,2,FALSE)),0,VLOOKUP(B18,'Total Permanent Investment'!$D$4:$E$6,2,FALSE)*'Cost Summary'!$H$113)))</f>
        <v>0</v>
      </c>
      <c r="I18" s="140">
        <f t="shared" si="2"/>
        <v>0</v>
      </c>
      <c r="J18" s="140">
        <f ca="1">IF(B18="","",-1*(C19-C18)*'Var Costs &amp; WC'!$K$19)</f>
        <v>0</v>
      </c>
      <c r="K18" s="140">
        <f t="shared" ca="1" si="3"/>
        <v>0</v>
      </c>
      <c r="L18" s="140">
        <f ca="1">IF(B18="","",-1*IF('General Input'!$D$41&gt;0,(1+'General Input'!$D$41)^('Cash Flows'!AD18)*C18*'Cost Summary'!$G$22,(1+'General Input'!$D$39*'Profitability Measures'!$R$40)^('Cash Flows'!AD18)*C18*'Cost Summary'!$G$22))</f>
        <v>-83899365.521441519</v>
      </c>
      <c r="M18" s="140">
        <f t="shared" ca="1" si="4"/>
        <v>-83899400</v>
      </c>
      <c r="N18" s="140">
        <f ca="1">IF(B18="","",IF(B18&lt;SUM('General Input'!$D$11,'General Input'!$D$7:$D$8),0,-1*IF('General Input'!$D$42&gt;0,'Cost Summary'!$G$66*(1+'General Input'!$D$42)^('Cash Flows'!B18-SUM('General Input'!$D$11,'General Input'!$D$7:$D$8)),'Cost Summary'!$G$66*(1+'General Input'!$D$39*'Profitability Measures'!$R$40)^('Cash Flows'!B18-SUM('General Input'!$D$11,'General Input'!$D$7:$D$8))))-IF(B18='Cost Summary'!$E$68,'Cost Summary'!$G$68,0))</f>
        <v>-4788953.7091481341</v>
      </c>
      <c r="O18" s="140">
        <f t="shared" ca="1" si="5"/>
        <v>-88688319.230589658</v>
      </c>
      <c r="P18" s="15">
        <f>IF(B18="","",IF('Input Summary'!F36="",0,'Input Summary'!F36))</f>
        <v>4.462E-2</v>
      </c>
      <c r="Q18" s="140">
        <f t="shared" ca="1" si="6"/>
        <v>-4789000</v>
      </c>
      <c r="R18" s="140">
        <f ca="1">IF(B18="","",-1*IF(P18="",0,'Cost Summary'!$H$103*'Cash Flows'!P18))</f>
        <v>-1431775.7562724573</v>
      </c>
      <c r="S18" s="140">
        <f t="shared" ca="1" si="7"/>
        <v>-1431800</v>
      </c>
      <c r="T18" s="140">
        <f>IF(B18="","",-1*IF(E18="",0,'Fixed Costs'!$E$40))</f>
        <v>0</v>
      </c>
      <c r="U18" s="141">
        <f t="shared" ca="1" si="8"/>
        <v>187634905.01313788</v>
      </c>
      <c r="V18" s="140">
        <f t="shared" ca="1" si="9"/>
        <v>187634900</v>
      </c>
      <c r="W18" s="141">
        <f ca="1">IF(B18="","",U18*-1*'General Input'!$D$37)</f>
        <v>-43156028.153021716</v>
      </c>
      <c r="X18" s="140">
        <f t="shared" ca="1" si="10"/>
        <v>-43156000</v>
      </c>
      <c r="Y18" s="141">
        <f t="shared" ca="1" si="11"/>
        <v>144478876.86011615</v>
      </c>
      <c r="Z18" s="140">
        <f t="shared" ca="1" si="12"/>
        <v>144478900</v>
      </c>
      <c r="AA18" s="140">
        <f t="shared" ca="1" si="13"/>
        <v>145910700</v>
      </c>
      <c r="AB18" s="141">
        <f t="shared" ca="1" si="14"/>
        <v>145910652.61638862</v>
      </c>
      <c r="AC18" s="141">
        <f ca="1">IF(B18="","",AB18/(1+'General Input'!$D$38)^('Cash Flows'!B18-'Cash Flows'!$B$4)+AC17)</f>
        <v>600570350.40341485</v>
      </c>
      <c r="AD18" s="135">
        <f>IF(B18="","",IF(B18=SUM('General Input'!$D$11,'General Input'!$D$7,'General Input'!$D$8),0,IF(B18&lt;SUM('General Input'!$D$11,'General Input'!$D$7,'General Input'!$D$8),0,'Cash Flows'!B18-SUM('General Input'!$D$11,'General Input'!$D$7,'General Input'!$D$8))))</f>
        <v>12</v>
      </c>
      <c r="AE18" s="141">
        <f t="shared" ca="1" si="15"/>
        <v>600570400</v>
      </c>
    </row>
    <row r="19" spans="2:31">
      <c r="B19" s="26">
        <f>IF('Input Summary'!A37&gt;0,'Input Summary'!A37,"")</f>
        <v>2039</v>
      </c>
      <c r="C19" s="137">
        <f>IF('Input Summary'!E37="",0,'Input Summary'!E37)</f>
        <v>1</v>
      </c>
      <c r="D19" s="138">
        <f t="shared" si="0"/>
        <v>1</v>
      </c>
      <c r="E19" s="139">
        <f>IF(B19="","",IF((B19+1)&gt;SUM('General Input'!D$7:D$8,'General Input'!D$11),VLOOKUP(B19,'Selling Price'!$A$8:$D$58,4,FALSE),""))</f>
        <v>55551</v>
      </c>
      <c r="F19" s="140">
        <f>IF(E19="","",(E19)*'Input Summary'!$C$15*'Input Summary'!E37)</f>
        <v>277755000</v>
      </c>
      <c r="G19" s="140">
        <f t="shared" si="1"/>
        <v>277755000</v>
      </c>
      <c r="H19" s="140">
        <f>IF(B19="","",(-1*IF(ISNA(VLOOKUP(B19,'Total Permanent Investment'!$D$4:$E$6,2,FALSE)),0,VLOOKUP(B19,'Total Permanent Investment'!$D$4:$E$6,2,FALSE)*'Cost Summary'!$H$113)))</f>
        <v>0</v>
      </c>
      <c r="I19" s="140">
        <f t="shared" si="2"/>
        <v>0</v>
      </c>
      <c r="J19" s="140">
        <f ca="1">IF(B19="","",-1*(C20-C19)*'Var Costs &amp; WC'!$K$19)</f>
        <v>0</v>
      </c>
      <c r="K19" s="140">
        <f t="shared" ca="1" si="3"/>
        <v>0</v>
      </c>
      <c r="L19" s="140">
        <f ca="1">IF(B19="","",-1*IF('General Input'!$D$41&gt;0,(1+'General Input'!$D$41)^('Cash Flows'!AD19)*C19*'Cost Summary'!$G$22,(1+'General Input'!$D$39*'Profitability Measures'!$R$40)^('Cash Flows'!AD19)*C19*'Cost Summary'!$G$22))</f>
        <v>-85996849.659477547</v>
      </c>
      <c r="M19" s="140">
        <f t="shared" ca="1" si="4"/>
        <v>-85996800</v>
      </c>
      <c r="N19" s="140">
        <f ca="1">IF(B19="","",IF(B19&lt;SUM('General Input'!$D$11,'General Input'!$D$7:$D$8),0,-1*IF('General Input'!$D$42&gt;0,'Cost Summary'!$G$66*(1+'General Input'!$D$42)^('Cash Flows'!B19-SUM('General Input'!$D$11,'General Input'!$D$7:$D$8)),'Cost Summary'!$G$66*(1+'General Input'!$D$39*'Profitability Measures'!$R$40)^('Cash Flows'!B19-SUM('General Input'!$D$11,'General Input'!$D$7:$D$8))))-IF(B19='Cost Summary'!$E$68,'Cost Summary'!$G$68,0))</f>
        <v>-4908677.5518768374</v>
      </c>
      <c r="O19" s="140">
        <f t="shared" ca="1" si="5"/>
        <v>-90905527.21135439</v>
      </c>
      <c r="P19" s="15">
        <f>IF(B19="","",IF('Input Summary'!F37="",0,'Input Summary'!F37))</f>
        <v>4.4610000000000004E-2</v>
      </c>
      <c r="Q19" s="140">
        <f t="shared" ca="1" si="6"/>
        <v>-4908700</v>
      </c>
      <c r="R19" s="140">
        <f ca="1">IF(B19="","",-1*IF(P19="",0,'Cost Summary'!$H$103*'Cash Flows'!P19))</f>
        <v>-1431454.8742114371</v>
      </c>
      <c r="S19" s="140">
        <f t="shared" ca="1" si="7"/>
        <v>-1431500</v>
      </c>
      <c r="T19" s="140">
        <f>IF(B19="","",-1*IF(E19="",0,'Fixed Costs'!$E$40))</f>
        <v>0</v>
      </c>
      <c r="U19" s="141">
        <f t="shared" ca="1" si="8"/>
        <v>185418017.91443419</v>
      </c>
      <c r="V19" s="140">
        <f t="shared" ca="1" si="9"/>
        <v>185418000</v>
      </c>
      <c r="W19" s="141">
        <f ca="1">IF(B19="","",U19*-1*'General Input'!$D$37)</f>
        <v>-42646144.120319866</v>
      </c>
      <c r="X19" s="140">
        <f t="shared" ca="1" si="10"/>
        <v>-42646100</v>
      </c>
      <c r="Y19" s="141">
        <f t="shared" ca="1" si="11"/>
        <v>142771873.79411432</v>
      </c>
      <c r="Z19" s="140">
        <f t="shared" ca="1" si="12"/>
        <v>142771900</v>
      </c>
      <c r="AA19" s="140">
        <f t="shared" ca="1" si="13"/>
        <v>144203300</v>
      </c>
      <c r="AB19" s="141">
        <f t="shared" ca="1" si="14"/>
        <v>144203328.66832575</v>
      </c>
      <c r="AC19" s="141">
        <f ca="1">IF(B19="","",AB19/(1+'General Input'!$D$38)^('Cash Flows'!B19-'Cash Flows'!$B$4)+AC18)</f>
        <v>618292144.24500465</v>
      </c>
      <c r="AD19" s="135">
        <f>IF(B19="","",IF(B19=SUM('General Input'!$D$11,'General Input'!$D$7,'General Input'!$D$8),0,IF(B19&lt;SUM('General Input'!$D$11,'General Input'!$D$7,'General Input'!$D$8),0,'Cash Flows'!B19-SUM('General Input'!$D$11,'General Input'!$D$7,'General Input'!$D$8))))</f>
        <v>13</v>
      </c>
      <c r="AE19" s="141">
        <f t="shared" ca="1" si="15"/>
        <v>618292100</v>
      </c>
    </row>
    <row r="20" spans="2:31">
      <c r="B20" s="26">
        <f>IF('Input Summary'!A38&gt;0,'Input Summary'!A38,"")</f>
        <v>2040</v>
      </c>
      <c r="C20" s="137">
        <f>IF('Input Summary'!E38="",0,'Input Summary'!E38)</f>
        <v>1</v>
      </c>
      <c r="D20" s="138">
        <f t="shared" si="0"/>
        <v>1</v>
      </c>
      <c r="E20" s="139">
        <f>IF(B20="","",IF((B20+1)&gt;SUM('General Input'!D$7:D$8,'General Input'!D$11),VLOOKUP(B20,'Selling Price'!$A$8:$D$58,4,FALSE),""))</f>
        <v>55551</v>
      </c>
      <c r="F20" s="140">
        <f>IF(E20="","",(E20)*'Input Summary'!$C$15*'Input Summary'!E38)</f>
        <v>277755000</v>
      </c>
      <c r="G20" s="140">
        <f t="shared" si="1"/>
        <v>277755000</v>
      </c>
      <c r="H20" s="140">
        <f>IF(B20="","",(-1*IF(ISNA(VLOOKUP(B20,'Total Permanent Investment'!$D$4:$E$6,2,FALSE)),0,VLOOKUP(B20,'Total Permanent Investment'!$D$4:$E$6,2,FALSE)*'Cost Summary'!$H$113)))</f>
        <v>0</v>
      </c>
      <c r="I20" s="140">
        <f t="shared" si="2"/>
        <v>0</v>
      </c>
      <c r="J20" s="140">
        <f ca="1">IF(B20="","",-1*(C21-C20)*'Var Costs &amp; WC'!$K$19)</f>
        <v>0</v>
      </c>
      <c r="K20" s="140">
        <f t="shared" ca="1" si="3"/>
        <v>0</v>
      </c>
      <c r="L20" s="140">
        <f ca="1">IF(B20="","",-1*IF('General Input'!$D$41&gt;0,(1+'General Input'!$D$41)^('Cash Flows'!AD20)*C20*'Cost Summary'!$G$22,(1+'General Input'!$D$39*'Profitability Measures'!$R$40)^('Cash Flows'!AD20)*C20*'Cost Summary'!$G$22))</f>
        <v>-88146770.900964469</v>
      </c>
      <c r="M20" s="140">
        <f t="shared" ca="1" si="4"/>
        <v>-88146800</v>
      </c>
      <c r="N20" s="140">
        <f ca="1">IF(B20="","",IF(B20&lt;SUM('General Input'!$D$11,'General Input'!$D$7:$D$8),0,-1*IF('General Input'!$D$42&gt;0,'Cost Summary'!$G$66*(1+'General Input'!$D$42)^('Cash Flows'!B20-SUM('General Input'!$D$11,'General Input'!$D$7:$D$8)),'Cost Summary'!$G$66*(1+'General Input'!$D$39*'Profitability Measures'!$R$40)^('Cash Flows'!B20-SUM('General Input'!$D$11,'General Input'!$D$7:$D$8))))-IF(B20='Cost Summary'!$E$68,'Cost Summary'!$G$68,0))</f>
        <v>-5031394.4906737581</v>
      </c>
      <c r="O20" s="140">
        <f t="shared" ca="1" si="5"/>
        <v>-93178165.391638219</v>
      </c>
      <c r="P20" s="15">
        <f>IF(B20="","",IF('Input Summary'!F38="",0,'Input Summary'!F38))</f>
        <v>4.462E-2</v>
      </c>
      <c r="Q20" s="140">
        <f t="shared" ca="1" si="6"/>
        <v>-5031400</v>
      </c>
      <c r="R20" s="140">
        <f ca="1">IF(B20="","",-1*IF(P20="",0,'Cost Summary'!$H$103*'Cash Flows'!P20))</f>
        <v>-1431775.7562724573</v>
      </c>
      <c r="S20" s="140">
        <f t="shared" ca="1" si="7"/>
        <v>-1431800</v>
      </c>
      <c r="T20" s="140">
        <f>IF(B20="","",-1*IF(E20="",0,'Fixed Costs'!$E$40))</f>
        <v>0</v>
      </c>
      <c r="U20" s="141">
        <f t="shared" ca="1" si="8"/>
        <v>183145058.85208932</v>
      </c>
      <c r="V20" s="140">
        <f t="shared" ca="1" si="9"/>
        <v>183145100</v>
      </c>
      <c r="W20" s="141">
        <f ca="1">IF(B20="","",U20*-1*'General Input'!$D$37)</f>
        <v>-42123363.535980545</v>
      </c>
      <c r="X20" s="140">
        <f t="shared" ca="1" si="10"/>
        <v>-42123400</v>
      </c>
      <c r="Y20" s="141">
        <f t="shared" ca="1" si="11"/>
        <v>141021695.31610876</v>
      </c>
      <c r="Z20" s="140">
        <f t="shared" ca="1" si="12"/>
        <v>141021700</v>
      </c>
      <c r="AA20" s="140">
        <f t="shared" ca="1" si="13"/>
        <v>142453500</v>
      </c>
      <c r="AB20" s="141">
        <f t="shared" ca="1" si="14"/>
        <v>142453471.07238123</v>
      </c>
      <c r="AC20" s="141">
        <f ca="1">IF(B20="","",AB20/(1+'General Input'!$D$38)^('Cash Flows'!B20-'Cash Flows'!$B$4)+AC19)</f>
        <v>633515401.6303556</v>
      </c>
      <c r="AD20" s="135">
        <f>IF(B20="","",IF(B20=SUM('General Input'!$D$11,'General Input'!$D$7,'General Input'!$D$8),0,IF(B20&lt;SUM('General Input'!$D$11,'General Input'!$D$7,'General Input'!$D$8),0,'Cash Flows'!B20-SUM('General Input'!$D$11,'General Input'!$D$7,'General Input'!$D$8))))</f>
        <v>14</v>
      </c>
      <c r="AE20" s="141">
        <f t="shared" ca="1" si="15"/>
        <v>633515400</v>
      </c>
    </row>
    <row r="21" spans="2:31">
      <c r="B21" s="26">
        <f>IF('Input Summary'!A39&gt;0,'Input Summary'!A39,"")</f>
        <v>2041</v>
      </c>
      <c r="C21" s="137">
        <f>IF('Input Summary'!E39="",0,'Input Summary'!E39)</f>
        <v>1</v>
      </c>
      <c r="D21" s="138">
        <f t="shared" si="0"/>
        <v>1</v>
      </c>
      <c r="E21" s="139">
        <f>IF(B21="","",IF((B21+1)&gt;SUM('General Input'!D$7:D$8,'General Input'!D$11),VLOOKUP(B21,'Selling Price'!$A$8:$D$58,4,FALSE),""))</f>
        <v>55551</v>
      </c>
      <c r="F21" s="140">
        <f>IF(E21="","",(E21)*'Input Summary'!$C$15*'Input Summary'!E39)</f>
        <v>277755000</v>
      </c>
      <c r="G21" s="140">
        <f t="shared" si="1"/>
        <v>277755000</v>
      </c>
      <c r="H21" s="140">
        <f>IF(B21="","",(-1*IF(ISNA(VLOOKUP(B21,'Total Permanent Investment'!$D$4:$E$6,2,FALSE)),0,VLOOKUP(B21,'Total Permanent Investment'!$D$4:$E$6,2,FALSE)*'Cost Summary'!$H$113)))</f>
        <v>0</v>
      </c>
      <c r="I21" s="140">
        <f t="shared" si="2"/>
        <v>0</v>
      </c>
      <c r="J21" s="140">
        <f ca="1">IF(B21="","",-1*(C22-C21)*'Var Costs &amp; WC'!$K$19)</f>
        <v>0</v>
      </c>
      <c r="K21" s="140">
        <f t="shared" ca="1" si="3"/>
        <v>0</v>
      </c>
      <c r="L21" s="140">
        <f ca="1">IF(B21="","",-1*IF('General Input'!$D$41&gt;0,(1+'General Input'!$D$41)^('Cash Flows'!AD21)*C21*'Cost Summary'!$G$22,(1+'General Input'!$D$39*'Profitability Measures'!$R$40)^('Cash Flows'!AD21)*C21*'Cost Summary'!$G$22))</f>
        <v>-90350440.173488602</v>
      </c>
      <c r="M21" s="140">
        <f t="shared" ca="1" si="4"/>
        <v>-90350400</v>
      </c>
      <c r="N21" s="140">
        <f ca="1">IF(B21="","",IF(B21&lt;SUM('General Input'!$D$11,'General Input'!$D$7:$D$8),0,-1*IF('General Input'!$D$42&gt;0,'Cost Summary'!$G$66*(1+'General Input'!$D$42)^('Cash Flows'!B21-SUM('General Input'!$D$11,'General Input'!$D$7:$D$8)),'Cost Summary'!$G$66*(1+'General Input'!$D$39*'Profitability Measures'!$R$40)^('Cash Flows'!B21-SUM('General Input'!$D$11,'General Input'!$D$7:$D$8))))-IF(B21='Cost Summary'!$E$68,'Cost Summary'!$G$68,0))</f>
        <v>-5157179.3529406022</v>
      </c>
      <c r="O21" s="140">
        <f t="shared" ca="1" si="5"/>
        <v>-95507619.526429206</v>
      </c>
      <c r="P21" s="15">
        <f>IF(B21="","",IF('Input Summary'!F39="",0,'Input Summary'!F39))</f>
        <v>4.4610000000000004E-2</v>
      </c>
      <c r="Q21" s="140">
        <f t="shared" ca="1" si="6"/>
        <v>-5157200</v>
      </c>
      <c r="R21" s="140">
        <f ca="1">IF(B21="","",-1*IF(P21="",0,'Cost Summary'!$H$103*'Cash Flows'!P21))</f>
        <v>-1431454.8742114371</v>
      </c>
      <c r="S21" s="140">
        <f t="shared" ca="1" si="7"/>
        <v>-1431500</v>
      </c>
      <c r="T21" s="140">
        <f>IF(B21="","",-1*IF(E21="",0,'Fixed Costs'!$E$40))</f>
        <v>0</v>
      </c>
      <c r="U21" s="141">
        <f t="shared" ca="1" si="8"/>
        <v>180815925.59935936</v>
      </c>
      <c r="V21" s="140">
        <f t="shared" ca="1" si="9"/>
        <v>180815900</v>
      </c>
      <c r="W21" s="141">
        <f ca="1">IF(B21="","",U21*-1*'General Input'!$D$37)</f>
        <v>-41587662.887852654</v>
      </c>
      <c r="X21" s="140">
        <f t="shared" ca="1" si="10"/>
        <v>-41587700</v>
      </c>
      <c r="Y21" s="141">
        <f t="shared" ca="1" si="11"/>
        <v>139228262.71150672</v>
      </c>
      <c r="Z21" s="140">
        <f t="shared" ca="1" si="12"/>
        <v>139228300</v>
      </c>
      <c r="AA21" s="140">
        <f t="shared" ca="1" si="13"/>
        <v>140659700</v>
      </c>
      <c r="AB21" s="141">
        <f t="shared" ca="1" si="14"/>
        <v>140659717.58571815</v>
      </c>
      <c r="AC21" s="141">
        <f ca="1">IF(B21="","",AB21/(1+'General Input'!$D$38)^('Cash Flows'!B21-'Cash Flows'!$B$4)+AC20)</f>
        <v>646586330.61472225</v>
      </c>
      <c r="AD21" s="135">
        <f>IF(B21="","",IF(B21=SUM('General Input'!$D$11,'General Input'!$D$7,'General Input'!$D$8),0,IF(B21&lt;SUM('General Input'!$D$11,'General Input'!$D$7,'General Input'!$D$8),0,'Cash Flows'!B21-SUM('General Input'!$D$11,'General Input'!$D$7,'General Input'!$D$8))))</f>
        <v>15</v>
      </c>
      <c r="AE21" s="141">
        <f t="shared" ca="1" si="15"/>
        <v>646586300</v>
      </c>
    </row>
    <row r="22" spans="2:31">
      <c r="B22" s="26">
        <f>IF('Input Summary'!A40&gt;0,'Input Summary'!A40,"")</f>
        <v>2042</v>
      </c>
      <c r="C22" s="137">
        <f>IF('Input Summary'!E40="",0,'Input Summary'!E40)</f>
        <v>1</v>
      </c>
      <c r="D22" s="138">
        <f t="shared" si="0"/>
        <v>1</v>
      </c>
      <c r="E22" s="139">
        <f>IF(B22="","",IF((B22+1)&gt;SUM('General Input'!D$7:D$8,'General Input'!D$11),VLOOKUP(B22,'Selling Price'!$A$8:$D$58,4,FALSE),""))</f>
        <v>55551</v>
      </c>
      <c r="F22" s="140">
        <f>IF(E22="","",(E22)*'Input Summary'!$C$15*'Input Summary'!E40)</f>
        <v>277755000</v>
      </c>
      <c r="G22" s="140">
        <f t="shared" si="1"/>
        <v>277755000</v>
      </c>
      <c r="H22" s="140">
        <f>IF(B22="","",(-1*IF(ISNA(VLOOKUP(B22,'Total Permanent Investment'!$D$4:$E$6,2,FALSE)),0,VLOOKUP(B22,'Total Permanent Investment'!$D$4:$E$6,2,FALSE)*'Cost Summary'!$H$113)))</f>
        <v>0</v>
      </c>
      <c r="I22" s="140">
        <f t="shared" si="2"/>
        <v>0</v>
      </c>
      <c r="J22" s="140">
        <f ca="1">IF(B22="","",-1*(C23-C22)*'Var Costs &amp; WC'!$K$19)</f>
        <v>0</v>
      </c>
      <c r="K22" s="140">
        <f t="shared" ca="1" si="3"/>
        <v>0</v>
      </c>
      <c r="L22" s="140">
        <f ca="1">IF(B22="","",-1*IF('General Input'!$D$41&gt;0,(1+'General Input'!$D$41)^('Cash Flows'!AD22)*C22*'Cost Summary'!$G$22,(1+'General Input'!$D$39*'Profitability Measures'!$R$40)^('Cash Flows'!AD22)*C22*'Cost Summary'!$G$22))</f>
        <v>-92609201.177825809</v>
      </c>
      <c r="M22" s="140">
        <f t="shared" ca="1" si="4"/>
        <v>-92609200</v>
      </c>
      <c r="N22" s="140">
        <f ca="1">IF(B22="","",IF(B22&lt;SUM('General Input'!$D$11,'General Input'!$D$7:$D$8),0,-1*IF('General Input'!$D$42&gt;0,'Cost Summary'!$G$66*(1+'General Input'!$D$42)^('Cash Flows'!B22-SUM('General Input'!$D$11,'General Input'!$D$7:$D$8)),'Cost Summary'!$G$66*(1+'General Input'!$D$39*'Profitability Measures'!$R$40)^('Cash Flows'!B22-SUM('General Input'!$D$11,'General Input'!$D$7:$D$8))))-IF(B22='Cost Summary'!$E$68,'Cost Summary'!$G$68,0))</f>
        <v>-5286108.8367641177</v>
      </c>
      <c r="O22" s="140">
        <f t="shared" ca="1" si="5"/>
        <v>-97895310.014589921</v>
      </c>
      <c r="P22" s="15">
        <f>IF(B22="","",IF('Input Summary'!F40="",0,'Input Summary'!F40))</f>
        <v>4.462E-2</v>
      </c>
      <c r="Q22" s="140">
        <f t="shared" ca="1" si="6"/>
        <v>-5286100</v>
      </c>
      <c r="R22" s="140">
        <f ca="1">IF(B22="","",-1*IF(P22="",0,'Cost Summary'!$H$103*'Cash Flows'!P22))</f>
        <v>-1431775.7562724573</v>
      </c>
      <c r="S22" s="140">
        <f t="shared" ca="1" si="7"/>
        <v>-1431800</v>
      </c>
      <c r="T22" s="140">
        <f>IF(B22="","",-1*IF(E22="",0,'Fixed Costs'!$E$40))</f>
        <v>0</v>
      </c>
      <c r="U22" s="141">
        <f t="shared" ca="1" si="8"/>
        <v>178427914.2291376</v>
      </c>
      <c r="V22" s="140">
        <f t="shared" ca="1" si="9"/>
        <v>178427900</v>
      </c>
      <c r="W22" s="141">
        <f ca="1">IF(B22="","",U22*-1*'General Input'!$D$37)</f>
        <v>-41038420.272701651</v>
      </c>
      <c r="X22" s="140">
        <f t="shared" ca="1" si="10"/>
        <v>-41038400</v>
      </c>
      <c r="Y22" s="141">
        <f t="shared" ca="1" si="11"/>
        <v>137389493.95643595</v>
      </c>
      <c r="Z22" s="140">
        <f t="shared" ca="1" si="12"/>
        <v>137389500</v>
      </c>
      <c r="AA22" s="140">
        <f t="shared" ca="1" si="13"/>
        <v>138821300</v>
      </c>
      <c r="AB22" s="141">
        <f t="shared" ca="1" si="14"/>
        <v>138821269.71270841</v>
      </c>
      <c r="AC22" s="141">
        <f ca="1">IF(B22="","",AB22/(1+'General Input'!$D$38)^('Cash Flows'!B22-'Cash Flows'!$B$4)+AC21)</f>
        <v>657803799.81955135</v>
      </c>
      <c r="AD22" s="135">
        <f>IF(B22="","",IF(B22=SUM('General Input'!$D$11,'General Input'!$D$7,'General Input'!$D$8),0,IF(B22&lt;SUM('General Input'!$D$11,'General Input'!$D$7,'General Input'!$D$8),0,'Cash Flows'!B22-SUM('General Input'!$D$11,'General Input'!$D$7,'General Input'!$D$8))))</f>
        <v>16</v>
      </c>
      <c r="AE22" s="141">
        <f t="shared" ca="1" si="15"/>
        <v>657803800</v>
      </c>
    </row>
    <row r="23" spans="2:31">
      <c r="B23" s="26">
        <f>IF('Input Summary'!A41&gt;0,'Input Summary'!A41,"")</f>
        <v>2043</v>
      </c>
      <c r="C23" s="137">
        <f>IF('Input Summary'!E41="",0,'Input Summary'!E41)</f>
        <v>1</v>
      </c>
      <c r="D23" s="138">
        <f t="shared" si="0"/>
        <v>1</v>
      </c>
      <c r="E23" s="139">
        <f>IF(B23="","",IF((B23+1)&gt;SUM('General Input'!D$7:D$8,'General Input'!D$11),VLOOKUP(B23,'Selling Price'!$A$8:$D$58,4,FALSE),""))</f>
        <v>55551</v>
      </c>
      <c r="F23" s="140">
        <f>IF(E23="","",(E23)*'Input Summary'!$C$15*'Input Summary'!E41)</f>
        <v>277755000</v>
      </c>
      <c r="G23" s="140">
        <f t="shared" si="1"/>
        <v>277755000</v>
      </c>
      <c r="H23" s="140">
        <f>IF(B23="","",(-1*IF(ISNA(VLOOKUP(B23,'Total Permanent Investment'!$D$4:$E$6,2,FALSE)),0,VLOOKUP(B23,'Total Permanent Investment'!$D$4:$E$6,2,FALSE)*'Cost Summary'!$H$113)))</f>
        <v>0</v>
      </c>
      <c r="I23" s="140">
        <f t="shared" si="2"/>
        <v>0</v>
      </c>
      <c r="J23" s="140">
        <f ca="1">IF(B23="","",-1*(C24-C23)*'Var Costs &amp; WC'!$K$19)</f>
        <v>0</v>
      </c>
      <c r="K23" s="140">
        <f t="shared" ca="1" si="3"/>
        <v>0</v>
      </c>
      <c r="L23" s="140">
        <f ca="1">IF(B23="","",-1*IF('General Input'!$D$41&gt;0,(1+'General Input'!$D$41)^('Cash Flows'!AD23)*C23*'Cost Summary'!$G$22,(1+'General Input'!$D$39*'Profitability Measures'!$R$40)^('Cash Flows'!AD23)*C23*'Cost Summary'!$G$22))</f>
        <v>-94924431.207271442</v>
      </c>
      <c r="M23" s="140">
        <f t="shared" ca="1" si="4"/>
        <v>-94924400</v>
      </c>
      <c r="N23" s="140">
        <f ca="1">IF(B23="","",IF(B23&lt;SUM('General Input'!$D$11,'General Input'!$D$7:$D$8),0,-1*IF('General Input'!$D$42&gt;0,'Cost Summary'!$G$66*(1+'General Input'!$D$42)^('Cash Flows'!B23-SUM('General Input'!$D$11,'General Input'!$D$7:$D$8)),'Cost Summary'!$G$66*(1+'General Input'!$D$39*'Profitability Measures'!$R$40)^('Cash Flows'!B23-SUM('General Input'!$D$11,'General Input'!$D$7:$D$8))))-IF(B23='Cost Summary'!$E$68,'Cost Summary'!$G$68,0))</f>
        <v>-5418261.5576832192</v>
      </c>
      <c r="O23" s="140">
        <f t="shared" ca="1" si="5"/>
        <v>-100342692.76495466</v>
      </c>
      <c r="P23" s="15">
        <f>IF(B23="","",IF('Input Summary'!F41="",0,'Input Summary'!F41))</f>
        <v>4.4610000000000004E-2</v>
      </c>
      <c r="Q23" s="140">
        <f t="shared" ca="1" si="6"/>
        <v>-5418300</v>
      </c>
      <c r="R23" s="140">
        <f ca="1">IF(B23="","",-1*IF(P23="",0,'Cost Summary'!$H$103*'Cash Flows'!P23))</f>
        <v>-1431454.8742114371</v>
      </c>
      <c r="S23" s="140">
        <f t="shared" ca="1" si="7"/>
        <v>-1431500</v>
      </c>
      <c r="T23" s="140">
        <f>IF(B23="","",-1*IF(E23="",0,'Fixed Costs'!$E$40))</f>
        <v>0</v>
      </c>
      <c r="U23" s="141">
        <f t="shared" ca="1" si="8"/>
        <v>175980852.36083388</v>
      </c>
      <c r="V23" s="140">
        <f t="shared" ca="1" si="9"/>
        <v>175980900</v>
      </c>
      <c r="W23" s="141">
        <f ca="1">IF(B23="","",U23*-1*'General Input'!$D$37)</f>
        <v>-40475596.042991795</v>
      </c>
      <c r="X23" s="140">
        <f t="shared" ca="1" si="10"/>
        <v>-40475600</v>
      </c>
      <c r="Y23" s="141">
        <f t="shared" ca="1" si="11"/>
        <v>135505256.3178421</v>
      </c>
      <c r="Z23" s="140">
        <f t="shared" ca="1" si="12"/>
        <v>135505300</v>
      </c>
      <c r="AA23" s="140">
        <f t="shared" ca="1" si="13"/>
        <v>136936700</v>
      </c>
      <c r="AB23" s="141">
        <f t="shared" ca="1" si="14"/>
        <v>136936711.19205353</v>
      </c>
      <c r="AC23" s="141">
        <f ca="1">IF(B23="","",AB23/(1+'General Input'!$D$38)^('Cash Flows'!B23-'Cash Flows'!$B$4)+AC22)</f>
        <v>667425701.7582432</v>
      </c>
      <c r="AD23" s="135">
        <f>IF(B23="","",IF(B23=SUM('General Input'!$D$11,'General Input'!$D$7,'General Input'!$D$8),0,IF(B23&lt;SUM('General Input'!$D$11,'General Input'!$D$7,'General Input'!$D$8),0,'Cash Flows'!B23-SUM('General Input'!$D$11,'General Input'!$D$7,'General Input'!$D$8))))</f>
        <v>17</v>
      </c>
      <c r="AE23" s="141">
        <f t="shared" ca="1" si="15"/>
        <v>667425700</v>
      </c>
    </row>
    <row r="24" spans="2:31">
      <c r="B24" s="26">
        <f>IF('Input Summary'!A42&gt;0,'Input Summary'!A42,"")</f>
        <v>2044</v>
      </c>
      <c r="C24" s="137">
        <f>IF('Input Summary'!E42="",0,'Input Summary'!E42)</f>
        <v>1</v>
      </c>
      <c r="D24" s="138">
        <f t="shared" si="0"/>
        <v>1</v>
      </c>
      <c r="E24" s="139">
        <f>IF(B24="","",IF((B24+1)&gt;SUM('General Input'!D$7:D$8,'General Input'!D$11),VLOOKUP(B24,'Selling Price'!$A$8:$D$58,4,FALSE),""))</f>
        <v>55551</v>
      </c>
      <c r="F24" s="140">
        <f>IF(E24="","",(E24)*'Input Summary'!$C$15*'Input Summary'!E42)</f>
        <v>277755000</v>
      </c>
      <c r="G24" s="140">
        <f t="shared" si="1"/>
        <v>277755000</v>
      </c>
      <c r="H24" s="140">
        <f>IF(B24="","",(-1*IF(ISNA(VLOOKUP(B24,'Total Permanent Investment'!$D$4:$E$6,2,FALSE)),0,VLOOKUP(B24,'Total Permanent Investment'!$D$4:$E$6,2,FALSE)*'Cost Summary'!$H$113)))</f>
        <v>0</v>
      </c>
      <c r="I24" s="140">
        <f t="shared" si="2"/>
        <v>0</v>
      </c>
      <c r="J24" s="140">
        <f ca="1">IF(B24="","",-1*(C25-C24)*'Var Costs &amp; WC'!$K$19)</f>
        <v>0</v>
      </c>
      <c r="K24" s="140">
        <f t="shared" ca="1" si="3"/>
        <v>0</v>
      </c>
      <c r="L24" s="140">
        <f ca="1">IF(B24="","",-1*IF('General Input'!$D$41&gt;0,(1+'General Input'!$D$41)^('Cash Flows'!AD24)*C24*'Cost Summary'!$G$22,(1+'General Input'!$D$39*'Profitability Measures'!$R$40)^('Cash Flows'!AD24)*C24*'Cost Summary'!$G$22))</f>
        <v>-97297541.987453237</v>
      </c>
      <c r="M24" s="140">
        <f t="shared" ca="1" si="4"/>
        <v>-97297500</v>
      </c>
      <c r="N24" s="140">
        <f ca="1">IF(B24="","",IF(B24&lt;SUM('General Input'!$D$11,'General Input'!$D$7:$D$8),0,-1*IF('General Input'!$D$42&gt;0,'Cost Summary'!$G$66*(1+'General Input'!$D$42)^('Cash Flows'!B24-SUM('General Input'!$D$11,'General Input'!$D$7:$D$8)),'Cost Summary'!$G$66*(1+'General Input'!$D$39*'Profitability Measures'!$R$40)^('Cash Flows'!B24-SUM('General Input'!$D$11,'General Input'!$D$7:$D$8))))-IF(B24='Cost Summary'!$E$68,'Cost Summary'!$G$68,0))</f>
        <v>-5553718.0966253001</v>
      </c>
      <c r="O24" s="140">
        <f t="shared" ca="1" si="5"/>
        <v>-102851260.08407854</v>
      </c>
      <c r="P24" s="15">
        <f>IF(B24="","",IF('Input Summary'!F42="",0,'Input Summary'!F42))</f>
        <v>4.462E-2</v>
      </c>
      <c r="Q24" s="140">
        <f t="shared" ca="1" si="6"/>
        <v>-5553700</v>
      </c>
      <c r="R24" s="140">
        <f ca="1">IF(B24="","",-1*IF(P24="",0,'Cost Summary'!$H$103*'Cash Flows'!P24))</f>
        <v>-1431775.7562724573</v>
      </c>
      <c r="S24" s="140">
        <f t="shared" ca="1" si="7"/>
        <v>-1431800</v>
      </c>
      <c r="T24" s="140">
        <f>IF(B24="","",-1*IF(E24="",0,'Fixed Costs'!$E$40))</f>
        <v>0</v>
      </c>
      <c r="U24" s="141">
        <f t="shared" ca="1" si="8"/>
        <v>173471964.15964901</v>
      </c>
      <c r="V24" s="140">
        <f t="shared" ca="1" si="9"/>
        <v>173472000</v>
      </c>
      <c r="W24" s="141">
        <f ca="1">IF(B24="","",U24*-1*'General Input'!$D$37)</f>
        <v>-39898551.756719276</v>
      </c>
      <c r="X24" s="140">
        <f t="shared" ca="1" si="10"/>
        <v>-39898600</v>
      </c>
      <c r="Y24" s="141">
        <f t="shared" ca="1" si="11"/>
        <v>133573412.40292974</v>
      </c>
      <c r="Z24" s="140">
        <f t="shared" ca="1" si="12"/>
        <v>133573400</v>
      </c>
      <c r="AA24" s="140">
        <f t="shared" ca="1" si="13"/>
        <v>135005200</v>
      </c>
      <c r="AB24" s="141">
        <f t="shared" ca="1" si="14"/>
        <v>135005188.15920219</v>
      </c>
      <c r="AC24" s="141">
        <f ca="1">IF(B24="","",AB24/(1+'General Input'!$D$38)^('Cash Flows'!B24-'Cash Flows'!$B$4)+AC23)</f>
        <v>675674556.41319227</v>
      </c>
      <c r="AD24" s="135">
        <f>IF(B24="","",IF(B24=SUM('General Input'!$D$11,'General Input'!$D$7,'General Input'!$D$8),0,IF(B24&lt;SUM('General Input'!$D$11,'General Input'!$D$7,'General Input'!$D$8),0,'Cash Flows'!B24-SUM('General Input'!$D$11,'General Input'!$D$7,'General Input'!$D$8))))</f>
        <v>18</v>
      </c>
      <c r="AE24" s="141">
        <f t="shared" ca="1" si="15"/>
        <v>675674600</v>
      </c>
    </row>
    <row r="25" spans="2:31">
      <c r="B25" s="26">
        <f>IF('Input Summary'!A43&gt;0,'Input Summary'!A43,"")</f>
        <v>2045</v>
      </c>
      <c r="C25" s="137">
        <f>IF('Input Summary'!E43="",0,'Input Summary'!E43)</f>
        <v>1</v>
      </c>
      <c r="D25" s="138">
        <f t="shared" si="0"/>
        <v>1</v>
      </c>
      <c r="E25" s="139">
        <f>IF(B25="","",IF((B25+1)&gt;SUM('General Input'!D$7:D$8,'General Input'!D$11),VLOOKUP(B25,'Selling Price'!$A$8:$D$58,4,FALSE),""))</f>
        <v>55551</v>
      </c>
      <c r="F25" s="140">
        <f>IF(E25="","",(E25)*'Input Summary'!$C$15*'Input Summary'!E43)</f>
        <v>277755000</v>
      </c>
      <c r="G25" s="140">
        <f t="shared" si="1"/>
        <v>277755000</v>
      </c>
      <c r="H25" s="140">
        <f>IF(B25="","",(-1*IF(ISNA(VLOOKUP(B25,'Total Permanent Investment'!$D$4:$E$6,2,FALSE)),0,VLOOKUP(B25,'Total Permanent Investment'!$D$4:$E$6,2,FALSE)*'Cost Summary'!$H$113)))</f>
        <v>0</v>
      </c>
      <c r="I25" s="140">
        <f t="shared" si="2"/>
        <v>0</v>
      </c>
      <c r="J25" s="140">
        <f ca="1">IF(B25="","",-1*(C26-C25)*'Var Costs &amp; WC'!$K$19)</f>
        <v>42076989.52427233</v>
      </c>
      <c r="K25" s="140">
        <f t="shared" ca="1" si="3"/>
        <v>42077000</v>
      </c>
      <c r="L25" s="140">
        <f ca="1">IF(B25="","",-1*IF('General Input'!$D$41&gt;0,(1+'General Input'!$D$41)^('Cash Flows'!AD25)*C25*'Cost Summary'!$G$22,(1+'General Input'!$D$39*'Profitability Measures'!$R$40)^('Cash Flows'!AD25)*C25*'Cost Summary'!$G$22))</f>
        <v>-99729980.537139565</v>
      </c>
      <c r="M25" s="140">
        <f t="shared" ca="1" si="4"/>
        <v>-99730000</v>
      </c>
      <c r="N25" s="140">
        <f ca="1">IF(B25="","",IF(B25&lt;SUM('General Input'!$D$11,'General Input'!$D$7:$D$8),0,-1*IF('General Input'!$D$42&gt;0,'Cost Summary'!$G$66*(1+'General Input'!$D$42)^('Cash Flows'!B25-SUM('General Input'!$D$11,'General Input'!$D$7:$D$8)),'Cost Summary'!$G$66*(1+'General Input'!$D$39*'Profitability Measures'!$R$40)^('Cash Flows'!B25-SUM('General Input'!$D$11,'General Input'!$D$7:$D$8))))-IF(B25='Cost Summary'!$E$68,'Cost Summary'!$G$68,0))</f>
        <v>-5692561.0490409331</v>
      </c>
      <c r="O25" s="140">
        <f t="shared" ca="1" si="5"/>
        <v>-105422541.58618049</v>
      </c>
      <c r="P25" s="15">
        <f>IF(B25="","",IF('Input Summary'!F43="",0,'Input Summary'!F43))</f>
        <v>4.4610000000000004E-2</v>
      </c>
      <c r="Q25" s="140">
        <f t="shared" ca="1" si="6"/>
        <v>-5692600</v>
      </c>
      <c r="R25" s="140">
        <f ca="1">IF(B25="","",-1*IF(P25="",0,'Cost Summary'!$H$103*'Cash Flows'!P25))</f>
        <v>-1431454.8742114371</v>
      </c>
      <c r="S25" s="140">
        <f t="shared" ca="1" si="7"/>
        <v>-1431500</v>
      </c>
      <c r="T25" s="140">
        <f>IF(B25="","",-1*IF(E25="",0,'Fixed Costs'!$E$40))</f>
        <v>0</v>
      </c>
      <c r="U25" s="141">
        <f t="shared" ca="1" si="8"/>
        <v>170901003.53960806</v>
      </c>
      <c r="V25" s="140">
        <f t="shared" ca="1" si="9"/>
        <v>170901000</v>
      </c>
      <c r="W25" s="141">
        <f ca="1">IF(B25="","",U25*-1*'General Input'!$D$37)</f>
        <v>-39307230.814109854</v>
      </c>
      <c r="X25" s="140">
        <f t="shared" ca="1" si="10"/>
        <v>-39307200</v>
      </c>
      <c r="Y25" s="141">
        <f t="shared" ca="1" si="11"/>
        <v>131593772.7254982</v>
      </c>
      <c r="Z25" s="140">
        <f t="shared" ca="1" si="12"/>
        <v>131593800</v>
      </c>
      <c r="AA25" s="140">
        <f t="shared" ca="1" si="13"/>
        <v>175102200</v>
      </c>
      <c r="AB25" s="141">
        <f t="shared" ca="1" si="14"/>
        <v>175102217.12398195</v>
      </c>
      <c r="AC25" s="141">
        <f ca="1">IF(B25="","",AB25/(1+'General Input'!$D$38)^('Cash Flows'!B25-'Cash Flows'!$B$4)+AC24)</f>
        <v>684977855.81265712</v>
      </c>
      <c r="AD25" s="135">
        <f>IF(B25="","",IF(B25=SUM('General Input'!$D$11,'General Input'!$D$7,'General Input'!$D$8),0,IF(B25&lt;SUM('General Input'!$D$11,'General Input'!$D$7,'General Input'!$D$8),0,'Cash Flows'!B25-SUM('General Input'!$D$11,'General Input'!$D$7,'General Input'!$D$8))))</f>
        <v>19</v>
      </c>
      <c r="AE25" s="141">
        <f t="shared" ca="1" si="15"/>
        <v>684977900</v>
      </c>
    </row>
    <row r="26" spans="2:31">
      <c r="B26" s="26" t="str">
        <f>IF('Input Summary'!A44&gt;0,'Input Summary'!A44,"")</f>
        <v/>
      </c>
      <c r="C26" s="137">
        <f>IF('Input Summary'!E44="",0,'Input Summary'!E44)</f>
        <v>0</v>
      </c>
      <c r="D26" s="138" t="str">
        <f t="shared" si="0"/>
        <v/>
      </c>
      <c r="E26" s="139" t="str">
        <f>IF(B26="","",IF((B26+1)&gt;SUM('General Input'!D$7:D$8,'General Input'!D$11),VLOOKUP(B26,'Selling Price'!$A$8:$D$58,4,FALSE),""))</f>
        <v/>
      </c>
      <c r="F26" s="140" t="str">
        <f>IF(E26="","",(E26)*'Input Summary'!$C$15*'Input Summary'!E44)</f>
        <v/>
      </c>
      <c r="G26" s="140" t="str">
        <f t="shared" si="1"/>
        <v/>
      </c>
      <c r="H26" s="140" t="str">
        <f>IF(B26="","",(-1*IF(ISNA(VLOOKUP(B26,'Total Permanent Investment'!$D$4:$E$6,2,FALSE)),0,VLOOKUP(B26,'Total Permanent Investment'!$D$4:$E$6,2,FALSE)*'Cost Summary'!$H$113)))</f>
        <v/>
      </c>
      <c r="I26" s="140" t="str">
        <f t="shared" si="2"/>
        <v/>
      </c>
      <c r="J26" s="140" t="str">
        <f>IF(B26="","",-1*(C27-C26)*'Var Costs &amp; WC'!$K$19)</f>
        <v/>
      </c>
      <c r="K26" s="140" t="str">
        <f t="shared" si="3"/>
        <v/>
      </c>
      <c r="L26" s="140" t="str">
        <f>IF(B26="","",-1*IF('General Input'!$D$41&gt;0,(1+'General Input'!$D$41)^('Cash Flows'!AD26)*C26*'Cost Summary'!$G$22,(1+'General Input'!$D$39*'Profitability Measures'!$R$40)^('Cash Flows'!AD26)*C26*'Cost Summary'!$G$22))</f>
        <v/>
      </c>
      <c r="M26" s="140" t="str">
        <f t="shared" si="4"/>
        <v/>
      </c>
      <c r="N26" s="140" t="str">
        <f>IF(B26="","",IF(B26&lt;SUM('General Input'!$D$11,'General Input'!$D$7:$D$8),0,-1*IF('General Input'!$D$42&gt;0,'Cost Summary'!$G$66*(1+'General Input'!$D$42)^('Cash Flows'!B26-SUM('General Input'!$D$11,'General Input'!$D$7:$D$8)),'Cost Summary'!$G$66*(1+'General Input'!$D$39*'Profitability Measures'!$R$40)^('Cash Flows'!B26-SUM('General Input'!$D$11,'General Input'!$D$7:$D$8))))-IF(B26='Cost Summary'!$E$68,'Cost Summary'!$G$68,0))</f>
        <v/>
      </c>
      <c r="O26" s="140" t="e">
        <f t="shared" si="5"/>
        <v>#VALUE!</v>
      </c>
      <c r="P26" s="15" t="str">
        <f>IF(B26="","",IF('Input Summary'!F44="",0,'Input Summary'!F44))</f>
        <v/>
      </c>
      <c r="Q26" s="140" t="str">
        <f t="shared" si="6"/>
        <v/>
      </c>
      <c r="R26" s="140" t="str">
        <f>IF(B26="","",-1*IF(P26="",0,'Cost Summary'!$H$103*'Cash Flows'!P26))</f>
        <v/>
      </c>
      <c r="S26" s="140" t="str">
        <f t="shared" si="7"/>
        <v/>
      </c>
      <c r="T26" s="140" t="str">
        <f>IF(B26="","",-1*IF(E26="",0,'Fixed Costs'!$E$40))</f>
        <v/>
      </c>
      <c r="U26" s="141" t="str">
        <f t="shared" si="8"/>
        <v/>
      </c>
      <c r="V26" s="140" t="str">
        <f t="shared" si="9"/>
        <v/>
      </c>
      <c r="W26" s="141" t="str">
        <f>IF(B26="","",U26*-1*'General Input'!$D$37)</f>
        <v/>
      </c>
      <c r="X26" s="140" t="str">
        <f t="shared" si="10"/>
        <v/>
      </c>
      <c r="Y26" s="141" t="str">
        <f t="shared" si="11"/>
        <v/>
      </c>
      <c r="Z26" s="140" t="str">
        <f t="shared" si="12"/>
        <v/>
      </c>
      <c r="AA26" s="140" t="str">
        <f t="shared" si="13"/>
        <v/>
      </c>
      <c r="AB26" s="141" t="str">
        <f t="shared" si="14"/>
        <v/>
      </c>
      <c r="AC26" s="141" t="str">
        <f>IF(B26="","",AB26/(1+'General Input'!$D$38)^('Cash Flows'!B26-'Cash Flows'!$B$4)+AC25)</f>
        <v/>
      </c>
      <c r="AD26" s="135" t="str">
        <f>IF(B26="","",IF(B26=SUM('General Input'!$D$11,'General Input'!$D$7,'General Input'!$D$8),0,IF(B26&lt;SUM('General Input'!$D$11,'General Input'!$D$7,'General Input'!$D$8),0,'Cash Flows'!B26-SUM('General Input'!$D$11,'General Input'!$D$7,'General Input'!$D$8))))</f>
        <v/>
      </c>
      <c r="AE26" s="141" t="str">
        <f t="shared" si="15"/>
        <v/>
      </c>
    </row>
    <row r="27" spans="2:31">
      <c r="B27" s="26" t="str">
        <f>IF('Input Summary'!A45&gt;0,'Input Summary'!A45,"")</f>
        <v/>
      </c>
      <c r="C27" s="137">
        <f>IF('Input Summary'!E45="",0,'Input Summary'!E45)</f>
        <v>0</v>
      </c>
      <c r="D27" s="138" t="str">
        <f t="shared" si="0"/>
        <v/>
      </c>
      <c r="E27" s="139" t="str">
        <f>IF(B27="","",IF((B27+1)&gt;SUM('General Input'!D$7:D$8,'General Input'!D$11),VLOOKUP(B27,'Selling Price'!$A$8:$D$58,4,FALSE),""))</f>
        <v/>
      </c>
      <c r="F27" s="10" t="str">
        <f>IF(E27="","",(E27)*'Input Summary'!$C$15*'Input Summary'!E45)</f>
        <v/>
      </c>
      <c r="G27" s="140" t="str">
        <f t="shared" si="1"/>
        <v/>
      </c>
      <c r="H27" s="140" t="str">
        <f>IF(B27="","",(-1*IF(ISNA(VLOOKUP(B27,'Total Permanent Investment'!$D$4:$E$6,2,FALSE)),0,VLOOKUP(B27,'Total Permanent Investment'!$D$4:$E$6,2,FALSE)*'Cost Summary'!$H$113)))</f>
        <v/>
      </c>
      <c r="I27" s="140" t="str">
        <f t="shared" si="2"/>
        <v/>
      </c>
      <c r="J27" s="140" t="str">
        <f>IF(B27="","",-1*(C28-C27)*'Var Costs &amp; WC'!$K$19)</f>
        <v/>
      </c>
      <c r="K27" s="140" t="str">
        <f t="shared" si="3"/>
        <v/>
      </c>
      <c r="L27" s="140" t="str">
        <f>IF(B27="","",-1*IF('General Input'!$D$41&gt;0,(1+'General Input'!$D$41)^('Cash Flows'!AD27)*C27*'Cost Summary'!$G$22,(1+'General Input'!$D$39*'Profitability Measures'!$R$40)^('Cash Flows'!AD27)*C27*'Cost Summary'!$G$22))</f>
        <v/>
      </c>
      <c r="M27" s="140" t="str">
        <f t="shared" si="4"/>
        <v/>
      </c>
      <c r="N27" s="140" t="str">
        <f>IF(B27="","",IF(B27&lt;SUM('General Input'!$D$11,'General Input'!$D$7:$D$8),0,-1*IF('General Input'!$D$42&gt;0,'Cost Summary'!$G$66*(1+'General Input'!$D$42)^('Cash Flows'!B27-SUM('General Input'!$D$11,'General Input'!$D$7:$D$8)),'Cost Summary'!$G$66*(1+'General Input'!$D$39*'Profitability Measures'!$R$40)^('Cash Flows'!B27-SUM('General Input'!$D$11,'General Input'!$D$7:$D$8))))-IF(B27='Cost Summary'!$E$68,'Cost Summary'!$G$68,0))</f>
        <v/>
      </c>
      <c r="O27" s="140" t="e">
        <f t="shared" si="5"/>
        <v>#VALUE!</v>
      </c>
      <c r="P27" s="15" t="str">
        <f>IF(B27="","",IF('Input Summary'!F45="",0,'Input Summary'!F45))</f>
        <v/>
      </c>
      <c r="Q27" s="140" t="str">
        <f t="shared" si="6"/>
        <v/>
      </c>
      <c r="R27" s="140" t="str">
        <f>IF(B27="","",-1*IF(P27="",0,'Cost Summary'!$H$103*'Cash Flows'!P27))</f>
        <v/>
      </c>
      <c r="S27" s="140" t="str">
        <f t="shared" si="7"/>
        <v/>
      </c>
      <c r="T27" s="140" t="str">
        <f>IF(B27="","",-1*IF(E27="",0,'Fixed Costs'!$E$40))</f>
        <v/>
      </c>
      <c r="U27" s="141" t="str">
        <f t="shared" si="8"/>
        <v/>
      </c>
      <c r="V27" s="140" t="str">
        <f t="shared" si="9"/>
        <v/>
      </c>
      <c r="W27" s="10" t="str">
        <f>IF(B27="","",U27*-1*'General Input'!$D$37)</f>
        <v/>
      </c>
      <c r="X27" s="140" t="str">
        <f t="shared" si="10"/>
        <v/>
      </c>
      <c r="Y27" s="141" t="str">
        <f t="shared" si="11"/>
        <v/>
      </c>
      <c r="Z27" s="140" t="str">
        <f t="shared" si="12"/>
        <v/>
      </c>
      <c r="AA27" s="140" t="str">
        <f t="shared" si="13"/>
        <v/>
      </c>
      <c r="AB27" s="141" t="str">
        <f t="shared" si="14"/>
        <v/>
      </c>
      <c r="AC27" s="141" t="str">
        <f>IF(B27="","",AB27/(1+'General Input'!$D$38)^('Cash Flows'!B27-'Cash Flows'!$B$4)+AC26)</f>
        <v/>
      </c>
      <c r="AD27" s="135" t="str">
        <f>IF(B27="","",IF(B27=SUM('General Input'!$D$11,'General Input'!$D$7,'General Input'!$D$8),0,IF(B27&lt;SUM('General Input'!$D$11,'General Input'!$D$7,'General Input'!$D$8),0,'Cash Flows'!B27-SUM('General Input'!$D$11,'General Input'!$D$7,'General Input'!$D$8))))</f>
        <v/>
      </c>
      <c r="AE27" s="141" t="str">
        <f t="shared" si="15"/>
        <v/>
      </c>
    </row>
    <row r="28" spans="2:31">
      <c r="B28" s="26" t="str">
        <f>IF('Input Summary'!A46&gt;0,'Input Summary'!A46,"")</f>
        <v/>
      </c>
      <c r="C28" s="137">
        <f>IF('Input Summary'!E46="",0,'Input Summary'!E46)</f>
        <v>0</v>
      </c>
      <c r="D28" s="138" t="str">
        <f t="shared" si="0"/>
        <v/>
      </c>
      <c r="E28" s="139" t="str">
        <f>IF(B28="","",IF((B28+1)&gt;SUM('General Input'!D$7:D$8,'General Input'!D$11),VLOOKUP(B28,'Selling Price'!$A$8:$D$58,4,FALSE),""))</f>
        <v/>
      </c>
      <c r="F28" s="10" t="str">
        <f>IF(E28="","",(E28)*'Input Summary'!$C$15*'Input Summary'!E46)</f>
        <v/>
      </c>
      <c r="G28" s="140" t="str">
        <f t="shared" si="1"/>
        <v/>
      </c>
      <c r="H28" s="140" t="str">
        <f>IF(B28="","",(-1*IF(ISNA(VLOOKUP(B28,'Total Permanent Investment'!$D$4:$E$6,2,FALSE)),0,VLOOKUP(B28,'Total Permanent Investment'!$D$4:$E$6,2,FALSE)*'Cost Summary'!$H$113)))</f>
        <v/>
      </c>
      <c r="I28" s="140" t="str">
        <f t="shared" si="2"/>
        <v/>
      </c>
      <c r="J28" s="140" t="str">
        <f>IF(B28="","",-1*(C29-C28)*'Var Costs &amp; WC'!$K$19)</f>
        <v/>
      </c>
      <c r="K28" s="140" t="str">
        <f t="shared" si="3"/>
        <v/>
      </c>
      <c r="L28" s="140" t="str">
        <f>IF(B28="","",-1*IF('General Input'!$D$41&gt;0,(1+'General Input'!$D$41)^('Cash Flows'!AD28)*C28*'Cost Summary'!$G$22,(1+'General Input'!$D$39*'Profitability Measures'!$R$40)^('Cash Flows'!AD28)*C28*'Cost Summary'!$G$22))</f>
        <v/>
      </c>
      <c r="M28" s="140" t="str">
        <f t="shared" si="4"/>
        <v/>
      </c>
      <c r="N28" s="140" t="str">
        <f>IF(B28="","",IF(B28&lt;SUM('General Input'!$D$11,'General Input'!$D$7:$D$8),0,-1*IF('General Input'!$D$42&gt;0,'Cost Summary'!$G$66*(1+'General Input'!$D$42)^('Cash Flows'!B28-SUM('General Input'!$D$11,'General Input'!$D$7:$D$8)),'Cost Summary'!$G$66*(1+'General Input'!$D$39*'Profitability Measures'!$R$40)^('Cash Flows'!B28-SUM('General Input'!$D$11,'General Input'!$D$7:$D$8))))-IF(B28='Cost Summary'!$E$68,'Cost Summary'!$G$68,0))</f>
        <v/>
      </c>
      <c r="O28" s="140" t="e">
        <f t="shared" si="5"/>
        <v>#VALUE!</v>
      </c>
      <c r="P28" s="15" t="str">
        <f>IF(B28="","",IF('Input Summary'!F46="",0,'Input Summary'!F46))</f>
        <v/>
      </c>
      <c r="Q28" s="140" t="str">
        <f t="shared" si="6"/>
        <v/>
      </c>
      <c r="R28" s="140" t="str">
        <f>IF(B28="","",-1*IF(P28="",0,'Cost Summary'!$H$103*'Cash Flows'!P28))</f>
        <v/>
      </c>
      <c r="S28" s="140" t="str">
        <f t="shared" si="7"/>
        <v/>
      </c>
      <c r="T28" s="140" t="str">
        <f>IF(B28="","",-1*IF(E28="",0,'Fixed Costs'!$E$40))</f>
        <v/>
      </c>
      <c r="U28" s="141" t="str">
        <f t="shared" si="8"/>
        <v/>
      </c>
      <c r="V28" s="140" t="str">
        <f t="shared" si="9"/>
        <v/>
      </c>
      <c r="W28" s="10" t="str">
        <f>IF(B28="","",U28*-1*'General Input'!$D$37)</f>
        <v/>
      </c>
      <c r="X28" s="140" t="str">
        <f t="shared" si="10"/>
        <v/>
      </c>
      <c r="Y28" s="141" t="str">
        <f t="shared" si="11"/>
        <v/>
      </c>
      <c r="Z28" s="140" t="str">
        <f t="shared" si="12"/>
        <v/>
      </c>
      <c r="AA28" s="140" t="str">
        <f t="shared" si="13"/>
        <v/>
      </c>
      <c r="AB28" s="141" t="str">
        <f t="shared" si="14"/>
        <v/>
      </c>
      <c r="AC28" s="141" t="str">
        <f>IF(B28="","",AB28/(1+'General Input'!$D$38)^('Cash Flows'!B28-'Cash Flows'!$B$4)+AC27)</f>
        <v/>
      </c>
      <c r="AD28" s="135" t="str">
        <f>IF(B28="","",IF(B28=SUM('General Input'!$D$11,'General Input'!$D$7,'General Input'!$D$8),0,IF(B28&lt;SUM('General Input'!$D$11,'General Input'!$D$7,'General Input'!$D$8),0,'Cash Flows'!B28-SUM('General Input'!$D$11,'General Input'!$D$7,'General Input'!$D$8))))</f>
        <v/>
      </c>
      <c r="AE28" s="141" t="str">
        <f t="shared" si="15"/>
        <v/>
      </c>
    </row>
    <row r="29" spans="2:31">
      <c r="B29" s="26" t="str">
        <f>IF('Input Summary'!A47&gt;0,'Input Summary'!A47,"")</f>
        <v/>
      </c>
      <c r="C29" s="137">
        <f>IF('Input Summary'!E47="",0,'Input Summary'!E47)</f>
        <v>0</v>
      </c>
      <c r="D29" s="138" t="str">
        <f t="shared" si="0"/>
        <v/>
      </c>
      <c r="E29" s="139" t="str">
        <f>IF(B29="","",IF((B29+1)&gt;SUM('General Input'!D$7:D$8,'General Input'!D$11),VLOOKUP(B29,'Selling Price'!$A$8:$D$58,4,FALSE),""))</f>
        <v/>
      </c>
      <c r="F29" s="10" t="str">
        <f>IF(E29="","",(E29)*'Input Summary'!$C$15*'Input Summary'!E47)</f>
        <v/>
      </c>
      <c r="G29" s="140" t="str">
        <f t="shared" si="1"/>
        <v/>
      </c>
      <c r="H29" s="140" t="str">
        <f>IF(B29="","",(-1*IF(ISNA(VLOOKUP(B29,'Total Permanent Investment'!$D$4:$E$6,2,FALSE)),0,VLOOKUP(B29,'Total Permanent Investment'!$D$4:$E$6,2,FALSE)*'Cost Summary'!$H$113)))</f>
        <v/>
      </c>
      <c r="I29" s="140" t="str">
        <f t="shared" si="2"/>
        <v/>
      </c>
      <c r="J29" s="140" t="str">
        <f>IF(B29="","",-1*(C30-C29)*'Var Costs &amp; WC'!$K$19)</f>
        <v/>
      </c>
      <c r="K29" s="140" t="str">
        <f t="shared" si="3"/>
        <v/>
      </c>
      <c r="L29" s="140" t="str">
        <f>IF(B29="","",-1*IF('General Input'!$D$41&gt;0,(1+'General Input'!$D$41)^('Cash Flows'!AD29)*C29*'Cost Summary'!$G$22,(1+'General Input'!$D$39*'Profitability Measures'!$R$40)^('Cash Flows'!AD29)*C29*'Cost Summary'!$G$22))</f>
        <v/>
      </c>
      <c r="M29" s="140" t="str">
        <f t="shared" si="4"/>
        <v/>
      </c>
      <c r="N29" s="140" t="str">
        <f>IF(B29="","",IF(B29&lt;SUM('General Input'!$D$11,'General Input'!$D$7:$D$8),0,-1*IF('General Input'!$D$42&gt;0,'Cost Summary'!$G$66*(1+'General Input'!$D$42)^('Cash Flows'!B29-SUM('General Input'!$D$11,'General Input'!$D$7:$D$8)),'Cost Summary'!$G$66*(1+'General Input'!$D$39*'Profitability Measures'!$R$40)^('Cash Flows'!B29-SUM('General Input'!$D$11,'General Input'!$D$7:$D$8))))-IF(B29='Cost Summary'!$E$68,'Cost Summary'!$G$68,0))</f>
        <v/>
      </c>
      <c r="O29" s="140" t="e">
        <f t="shared" si="5"/>
        <v>#VALUE!</v>
      </c>
      <c r="P29" s="15" t="str">
        <f>IF(B29="","",IF('Input Summary'!F47="",0,'Input Summary'!F47))</f>
        <v/>
      </c>
      <c r="Q29" s="140" t="str">
        <f t="shared" si="6"/>
        <v/>
      </c>
      <c r="R29" s="140" t="str">
        <f>IF(B29="","",-1*IF(P29="",0,'Cost Summary'!$H$103*'Cash Flows'!P29))</f>
        <v/>
      </c>
      <c r="S29" s="140" t="str">
        <f t="shared" si="7"/>
        <v/>
      </c>
      <c r="T29" s="140" t="str">
        <f>IF(B29="","",-1*IF(E29="",0,'Fixed Costs'!$E$40))</f>
        <v/>
      </c>
      <c r="U29" s="141" t="str">
        <f t="shared" si="8"/>
        <v/>
      </c>
      <c r="V29" s="140" t="str">
        <f t="shared" si="9"/>
        <v/>
      </c>
      <c r="W29" s="10" t="str">
        <f>IF(B29="","",U29*-1*'General Input'!$D$37)</f>
        <v/>
      </c>
      <c r="X29" s="140" t="str">
        <f t="shared" si="10"/>
        <v/>
      </c>
      <c r="Y29" s="141" t="str">
        <f t="shared" si="11"/>
        <v/>
      </c>
      <c r="Z29" s="140" t="str">
        <f t="shared" si="12"/>
        <v/>
      </c>
      <c r="AA29" s="140" t="str">
        <f t="shared" si="13"/>
        <v/>
      </c>
      <c r="AB29" s="141" t="str">
        <f t="shared" si="14"/>
        <v/>
      </c>
      <c r="AC29" s="141" t="str">
        <f>IF(B29="","",AB29/(1+'General Input'!$D$38)^('Cash Flows'!B29-'Cash Flows'!$B$4)+AC28)</f>
        <v/>
      </c>
      <c r="AD29" s="135" t="str">
        <f>IF(B29="","",IF(B29=SUM('General Input'!$D$11,'General Input'!$D$7,'General Input'!$D$8),0,IF(B29&lt;SUM('General Input'!$D$11,'General Input'!$D$7,'General Input'!$D$8),0,'Cash Flows'!B29-SUM('General Input'!$D$11,'General Input'!$D$7,'General Input'!$D$8))))</f>
        <v/>
      </c>
      <c r="AE29" s="141" t="str">
        <f t="shared" si="15"/>
        <v/>
      </c>
    </row>
    <row r="30" spans="2:31">
      <c r="B30" s="26" t="str">
        <f>IF('Input Summary'!A48&gt;0,'Input Summary'!A48,"")</f>
        <v/>
      </c>
      <c r="C30" s="137">
        <f>IF('Input Summary'!E48="",0,'Input Summary'!E48)</f>
        <v>0</v>
      </c>
      <c r="D30" s="138" t="str">
        <f t="shared" si="0"/>
        <v/>
      </c>
      <c r="E30" s="139" t="str">
        <f>IF(B30="","",IF((B30+1)&gt;SUM('General Input'!D$7:D$8,'General Input'!D$11),VLOOKUP(B30,'Selling Price'!$A$8:$D$58,4,FALSE),""))</f>
        <v/>
      </c>
      <c r="F30" s="10" t="str">
        <f>IF(E30="","",(E30)*'Input Summary'!$C$15*'Input Summary'!E48)</f>
        <v/>
      </c>
      <c r="G30" s="140" t="str">
        <f t="shared" si="1"/>
        <v/>
      </c>
      <c r="H30" s="140" t="str">
        <f>IF(B30="","",(-1*IF(ISNA(VLOOKUP(B30,'Total Permanent Investment'!$D$4:$E$6,2,FALSE)),0,VLOOKUP(B30,'Total Permanent Investment'!$D$4:$E$6,2,FALSE)*'Cost Summary'!$H$113)))</f>
        <v/>
      </c>
      <c r="I30" s="140" t="str">
        <f t="shared" si="2"/>
        <v/>
      </c>
      <c r="J30" s="140" t="str">
        <f>IF(B30="","",-1*(C31-C30)*'Var Costs &amp; WC'!$K$19)</f>
        <v/>
      </c>
      <c r="K30" s="140" t="str">
        <f t="shared" si="3"/>
        <v/>
      </c>
      <c r="L30" s="140" t="str">
        <f>IF(B30="","",-1*IF('General Input'!$D$41&gt;0,(1+'General Input'!$D$41)^('Cash Flows'!AD30)*C30*'Cost Summary'!$G$22,(1+'General Input'!$D$39*'Profitability Measures'!$R$40)^('Cash Flows'!AD30)*C30*'Cost Summary'!$G$22))</f>
        <v/>
      </c>
      <c r="M30" s="140" t="str">
        <f t="shared" si="4"/>
        <v/>
      </c>
      <c r="N30" s="140" t="str">
        <f>IF(B30="","",IF(B30&lt;SUM('General Input'!$D$11,'General Input'!$D$7:$D$8),0,-1*IF('General Input'!$D$42&gt;0,'Cost Summary'!$G$66*(1+'General Input'!$D$42)^('Cash Flows'!B30-SUM('General Input'!$D$11,'General Input'!$D$7:$D$8)),'Cost Summary'!$G$66*(1+'General Input'!$D$39*'Profitability Measures'!$R$40)^('Cash Flows'!B30-SUM('General Input'!$D$11,'General Input'!$D$7:$D$8))))-IF(B30='Cost Summary'!$E$68,'Cost Summary'!$G$68,0))</f>
        <v/>
      </c>
      <c r="O30" s="140" t="e">
        <f t="shared" si="5"/>
        <v>#VALUE!</v>
      </c>
      <c r="P30" s="15" t="str">
        <f>IF(B30="","",IF('Input Summary'!F48="",0,'Input Summary'!F48))</f>
        <v/>
      </c>
      <c r="Q30" s="140" t="str">
        <f t="shared" si="6"/>
        <v/>
      </c>
      <c r="R30" s="140" t="str">
        <f>IF(B30="","",-1*IF(P30="",0,'Cost Summary'!$H$103*'Cash Flows'!P30))</f>
        <v/>
      </c>
      <c r="S30" s="140" t="str">
        <f t="shared" si="7"/>
        <v/>
      </c>
      <c r="T30" s="140" t="str">
        <f>IF(B30="","",-1*IF(E30="",0,'Fixed Costs'!$E$40))</f>
        <v/>
      </c>
      <c r="U30" s="141" t="str">
        <f t="shared" si="8"/>
        <v/>
      </c>
      <c r="V30" s="140" t="str">
        <f>IF(U30="","",ROUND(U30,-2))</f>
        <v/>
      </c>
      <c r="W30" s="10" t="str">
        <f>IF(B30="","",U30*-1*'General Input'!$D$37)</f>
        <v/>
      </c>
      <c r="X30" s="140" t="str">
        <f t="shared" si="10"/>
        <v/>
      </c>
      <c r="Y30" s="141" t="str">
        <f t="shared" si="11"/>
        <v/>
      </c>
      <c r="Z30" s="140" t="str">
        <f t="shared" si="12"/>
        <v/>
      </c>
      <c r="AA30" s="140" t="str">
        <f t="shared" si="13"/>
        <v/>
      </c>
      <c r="AB30" s="141" t="str">
        <f t="shared" si="14"/>
        <v/>
      </c>
      <c r="AC30" s="141" t="str">
        <f>IF(B30="","",AB30/(1+'General Input'!$D$38)^('Cash Flows'!B30-'Cash Flows'!$B$4)+AC29)</f>
        <v/>
      </c>
      <c r="AD30" s="135" t="str">
        <f>IF(B30="","",IF(B30=SUM('General Input'!$D$11,'General Input'!$D$7,'General Input'!$D$8),0,IF(B30&lt;SUM('General Input'!$D$11,'General Input'!$D$7,'General Input'!$D$8),0,'Cash Flows'!B30-SUM('General Input'!$D$11,'General Input'!$D$7,'General Input'!$D$8))))</f>
        <v/>
      </c>
      <c r="AE30" s="141" t="str">
        <f t="shared" si="15"/>
        <v/>
      </c>
    </row>
    <row r="31" spans="2:31">
      <c r="B31" s="26" t="str">
        <f>IF('Input Summary'!A49&gt;0,'Input Summary'!A49,"")</f>
        <v/>
      </c>
      <c r="C31" s="137">
        <f>IF('Input Summary'!E49="",0,'Input Summary'!E49)</f>
        <v>0</v>
      </c>
      <c r="D31" s="138" t="str">
        <f t="shared" si="0"/>
        <v/>
      </c>
      <c r="E31" s="139" t="str">
        <f>IF(B31="","",IF((B31+1)&gt;SUM('General Input'!D$7:D$8,'General Input'!D$11),VLOOKUP(B31,'Selling Price'!$A$8:$D$58,4,FALSE),""))</f>
        <v/>
      </c>
      <c r="F31" s="10" t="str">
        <f>IF(E31="","",(E31)*'Input Summary'!$C$15*'Input Summary'!E49)</f>
        <v/>
      </c>
      <c r="G31" s="140" t="str">
        <f t="shared" si="1"/>
        <v/>
      </c>
      <c r="H31" s="140" t="str">
        <f>IF(B31="","",(-1*IF(ISNA(VLOOKUP(B31,'Total Permanent Investment'!$D$4:$E$6,2,FALSE)),0,VLOOKUP(B31,'Total Permanent Investment'!$D$4:$E$6,2,FALSE)*'Cost Summary'!$H$113)))</f>
        <v/>
      </c>
      <c r="I31" s="140" t="str">
        <f t="shared" si="2"/>
        <v/>
      </c>
      <c r="J31" s="140" t="str">
        <f>IF(B31="","",-1*(C32-C31)*'Var Costs &amp; WC'!$K$19)</f>
        <v/>
      </c>
      <c r="K31" s="140" t="str">
        <f t="shared" si="3"/>
        <v/>
      </c>
      <c r="L31" s="140" t="str">
        <f>IF(B31="","",-1*IF('General Input'!$D$41&gt;0,(1+'General Input'!$D$41)^('Cash Flows'!AD31)*C31*'Cost Summary'!$G$22,(1+'General Input'!$D$39*'Profitability Measures'!$R$40)^('Cash Flows'!AD31)*C31*'Cost Summary'!$G$22))</f>
        <v/>
      </c>
      <c r="M31" s="140" t="str">
        <f t="shared" si="4"/>
        <v/>
      </c>
      <c r="N31" s="140" t="str">
        <f>IF(B31="","",IF(B31&lt;SUM('General Input'!$D$11,'General Input'!$D$7:$D$8),0,-1*IF('General Input'!$D$42&gt;0,'Cost Summary'!$G$66*(1+'General Input'!$D$42)^('Cash Flows'!B31-SUM('General Input'!$D$11,'General Input'!$D$7:$D$8)),'Cost Summary'!$G$66*(1+'General Input'!$D$39*'Profitability Measures'!$R$40)^('Cash Flows'!B31-SUM('General Input'!$D$11,'General Input'!$D$7:$D$8))))-IF(B31='Cost Summary'!$E$68,'Cost Summary'!$G$68,0))</f>
        <v/>
      </c>
      <c r="O31" s="140" t="e">
        <f t="shared" si="5"/>
        <v>#VALUE!</v>
      </c>
      <c r="P31" s="15" t="str">
        <f>IF(B31="","",IF('Input Summary'!F49="",0,'Input Summary'!F49))</f>
        <v/>
      </c>
      <c r="Q31" s="140" t="str">
        <f t="shared" si="6"/>
        <v/>
      </c>
      <c r="R31" s="140" t="str">
        <f>IF(B31="","",-1*IF(P31="",0,'Cost Summary'!$H$103*'Cash Flows'!P31))</f>
        <v/>
      </c>
      <c r="S31" s="140" t="str">
        <f t="shared" si="7"/>
        <v/>
      </c>
      <c r="T31" s="140" t="str">
        <f>IF(B31="","",-1*IF(E31="",0,'Fixed Costs'!$E$40))</f>
        <v/>
      </c>
      <c r="U31" s="141" t="str">
        <f t="shared" si="8"/>
        <v/>
      </c>
      <c r="V31" s="140" t="str">
        <f t="shared" si="9"/>
        <v/>
      </c>
      <c r="W31" s="10" t="str">
        <f>IF(B31="","",U31*-1*'General Input'!$D$37)</f>
        <v/>
      </c>
      <c r="X31" s="140" t="str">
        <f t="shared" si="10"/>
        <v/>
      </c>
      <c r="Y31" s="141" t="str">
        <f t="shared" si="11"/>
        <v/>
      </c>
      <c r="Z31" s="140" t="str">
        <f t="shared" si="12"/>
        <v/>
      </c>
      <c r="AA31" s="140" t="str">
        <f t="shared" si="13"/>
        <v/>
      </c>
      <c r="AB31" s="141" t="str">
        <f t="shared" si="14"/>
        <v/>
      </c>
      <c r="AC31" s="141" t="str">
        <f>IF(B31="","",AB31/(1+'General Input'!$D$38)^('Cash Flows'!B31-'Cash Flows'!$B$4)+AC30)</f>
        <v/>
      </c>
      <c r="AD31" s="135" t="str">
        <f>IF(B31="","",IF(B31=SUM('General Input'!$D$11,'General Input'!$D$7,'General Input'!$D$8),0,IF(B31&lt;SUM('General Input'!$D$11,'General Input'!$D$7,'General Input'!$D$8),0,'Cash Flows'!B31-SUM('General Input'!$D$11,'General Input'!$D$7,'General Input'!$D$8))))</f>
        <v/>
      </c>
      <c r="AE31" s="141" t="str">
        <f t="shared" si="15"/>
        <v/>
      </c>
    </row>
    <row r="32" spans="2:31">
      <c r="B32" s="26" t="str">
        <f>IF('Input Summary'!A50&gt;0,'Input Summary'!A50,"")</f>
        <v/>
      </c>
      <c r="C32" s="137">
        <f>IF('Input Summary'!E50="",0,'Input Summary'!E50)</f>
        <v>0</v>
      </c>
      <c r="D32" s="138" t="str">
        <f t="shared" si="0"/>
        <v/>
      </c>
      <c r="E32" s="139" t="str">
        <f>IF(B32="","",IF((B32+1)&gt;SUM('General Input'!D$7:D$8,'General Input'!D$11),VLOOKUP(B32,'Selling Price'!$A$8:$D$58,4,FALSE),""))</f>
        <v/>
      </c>
      <c r="F32" s="10" t="str">
        <f>IF(E32="","",(E32)*'Input Summary'!$C$15*'Input Summary'!E50)</f>
        <v/>
      </c>
      <c r="G32" s="140" t="str">
        <f t="shared" si="1"/>
        <v/>
      </c>
      <c r="H32" s="140" t="str">
        <f>IF(B32="","",(-1*IF(ISNA(VLOOKUP(B32,'Total Permanent Investment'!$D$4:$E$6,2,FALSE)),0,VLOOKUP(B32,'Total Permanent Investment'!$D$4:$E$6,2,FALSE)*'Cost Summary'!$H$113)))</f>
        <v/>
      </c>
      <c r="I32" s="140" t="str">
        <f t="shared" si="2"/>
        <v/>
      </c>
      <c r="J32" s="140" t="str">
        <f>IF(B32="","",-1*(C33-C32)*'Var Costs &amp; WC'!$K$19)</f>
        <v/>
      </c>
      <c r="K32" s="140" t="str">
        <f t="shared" si="3"/>
        <v/>
      </c>
      <c r="L32" s="140" t="str">
        <f>IF(B32="","",-1*IF('General Input'!$D$41&gt;0,(1+'General Input'!$D$41)^('Cash Flows'!AD32)*C32*'Cost Summary'!$G$22,(1+'General Input'!$D$39*'Profitability Measures'!$R$40)^('Cash Flows'!AD32)*C32*'Cost Summary'!$G$22))</f>
        <v/>
      </c>
      <c r="M32" s="140" t="str">
        <f t="shared" si="4"/>
        <v/>
      </c>
      <c r="N32" s="140" t="str">
        <f>IF(B32="","",IF(B32&lt;SUM('General Input'!$D$11,'General Input'!$D$7:$D$8),0,-1*IF('General Input'!$D$42&gt;0,'Cost Summary'!$G$66*(1+'General Input'!$D$42)^('Cash Flows'!B32-SUM('General Input'!$D$11,'General Input'!$D$7:$D$8)),'Cost Summary'!$G$66*(1+'General Input'!$D$39*'Profitability Measures'!$R$40)^('Cash Flows'!B32-SUM('General Input'!$D$11,'General Input'!$D$7:$D$8))))-IF(B32='Cost Summary'!$E$68,'Cost Summary'!$G$68,0))</f>
        <v/>
      </c>
      <c r="O32" s="140" t="e">
        <f t="shared" si="5"/>
        <v>#VALUE!</v>
      </c>
      <c r="P32" s="15" t="str">
        <f>IF(B32="","",IF('Input Summary'!F50="",0,'Input Summary'!F50))</f>
        <v/>
      </c>
      <c r="Q32" s="140" t="str">
        <f t="shared" si="6"/>
        <v/>
      </c>
      <c r="R32" s="140" t="str">
        <f>IF(B32="","",-1*IF(P32="",0,'Cost Summary'!$H$103*'Cash Flows'!P32))</f>
        <v/>
      </c>
      <c r="S32" s="140" t="str">
        <f t="shared" si="7"/>
        <v/>
      </c>
      <c r="T32" s="140" t="str">
        <f>IF(B32="","",-1*IF(E32="",0,'Fixed Costs'!$E$40))</f>
        <v/>
      </c>
      <c r="U32" s="141" t="str">
        <f t="shared" si="8"/>
        <v/>
      </c>
      <c r="V32" s="140" t="str">
        <f t="shared" si="9"/>
        <v/>
      </c>
      <c r="W32" s="10" t="str">
        <f>IF(B32="","",U32*-1*'General Input'!$D$37)</f>
        <v/>
      </c>
      <c r="X32" s="140" t="str">
        <f t="shared" si="10"/>
        <v/>
      </c>
      <c r="Y32" s="141" t="str">
        <f t="shared" si="11"/>
        <v/>
      </c>
      <c r="Z32" s="140" t="str">
        <f t="shared" si="12"/>
        <v/>
      </c>
      <c r="AA32" s="140" t="str">
        <f t="shared" si="13"/>
        <v/>
      </c>
      <c r="AB32" s="141" t="str">
        <f t="shared" si="14"/>
        <v/>
      </c>
      <c r="AC32" s="141" t="str">
        <f>IF(B32="","",AB32/(1+'General Input'!$D$38)^('Cash Flows'!B32-'Cash Flows'!$B$4)+AC31)</f>
        <v/>
      </c>
      <c r="AD32" s="135" t="str">
        <f>IF(B32="","",IF(B32=SUM('General Input'!$D$11,'General Input'!$D$7,'General Input'!$D$8),0,IF(B32&lt;SUM('General Input'!$D$11,'General Input'!$D$7,'General Input'!$D$8),0,'Cash Flows'!B32-SUM('General Input'!$D$11,'General Input'!$D$7,'General Input'!$D$8))))</f>
        <v/>
      </c>
      <c r="AE32" s="141" t="str">
        <f t="shared" si="15"/>
        <v/>
      </c>
    </row>
    <row r="33" spans="2:31">
      <c r="B33" s="26" t="str">
        <f>IF('Input Summary'!A51&gt;0,'Input Summary'!A51,"")</f>
        <v/>
      </c>
      <c r="C33" s="137">
        <f>IF('Input Summary'!E51="",0,'Input Summary'!E51)</f>
        <v>0</v>
      </c>
      <c r="D33" s="138" t="str">
        <f t="shared" si="0"/>
        <v/>
      </c>
      <c r="E33" s="139" t="str">
        <f>IF(B33="","",IF((B33+1)&gt;SUM('General Input'!D$7:D$8,'General Input'!D$11),VLOOKUP(B33,'Selling Price'!$A$8:$D$58,4,FALSE),""))</f>
        <v/>
      </c>
      <c r="F33" s="10" t="str">
        <f>IF(E33="","",(E33)*'Input Summary'!$C$15*'Input Summary'!E51)</f>
        <v/>
      </c>
      <c r="G33" s="140" t="str">
        <f t="shared" si="1"/>
        <v/>
      </c>
      <c r="H33" s="140" t="str">
        <f>IF(B33="","",(-1*IF(ISNA(VLOOKUP(B33,'Total Permanent Investment'!$D$4:$E$6,2,FALSE)),0,VLOOKUP(B33,'Total Permanent Investment'!$D$4:$E$6,2,FALSE)*'Cost Summary'!$H$113)))</f>
        <v/>
      </c>
      <c r="I33" s="140" t="str">
        <f t="shared" si="2"/>
        <v/>
      </c>
      <c r="J33" s="140" t="str">
        <f>IF(B33="","",-1*(C34-C33)*'Var Costs &amp; WC'!$K$19)</f>
        <v/>
      </c>
      <c r="K33" s="140" t="str">
        <f t="shared" si="3"/>
        <v/>
      </c>
      <c r="L33" s="140" t="str">
        <f>IF(B33="","",-1*IF('General Input'!$D$41&gt;0,(1+'General Input'!$D$41)^('Cash Flows'!AD33)*C33*'Cost Summary'!$G$22,(1+'General Input'!$D$39*'Profitability Measures'!$R$40)^('Cash Flows'!AD33)*C33*'Cost Summary'!$G$22))</f>
        <v/>
      </c>
      <c r="M33" s="140" t="str">
        <f t="shared" si="4"/>
        <v/>
      </c>
      <c r="N33" s="140" t="str">
        <f>IF(B33="","",IF(B33&lt;SUM('General Input'!$D$11,'General Input'!$D$7:$D$8),0,-1*IF('General Input'!$D$42&gt;0,'Cost Summary'!$G$66*(1+'General Input'!$D$42)^('Cash Flows'!B33-SUM('General Input'!$D$11,'General Input'!$D$7:$D$8)),'Cost Summary'!$G$66*(1+'General Input'!$D$39*'Profitability Measures'!$R$40)^('Cash Flows'!B33-SUM('General Input'!$D$11,'General Input'!$D$7:$D$8))))-IF(B33='Cost Summary'!$E$68,'Cost Summary'!$G$68,0))</f>
        <v/>
      </c>
      <c r="O33" s="140" t="e">
        <f t="shared" si="5"/>
        <v>#VALUE!</v>
      </c>
      <c r="P33" s="15" t="str">
        <f>IF(B33="","",IF('Input Summary'!F51="",0,'Input Summary'!F51))</f>
        <v/>
      </c>
      <c r="Q33" s="140" t="str">
        <f t="shared" si="6"/>
        <v/>
      </c>
      <c r="R33" s="140" t="str">
        <f>IF(B33="","",-1*IF(P33="",0,'Cost Summary'!$H$103*'Cash Flows'!P33))</f>
        <v/>
      </c>
      <c r="S33" s="140" t="str">
        <f t="shared" si="7"/>
        <v/>
      </c>
      <c r="T33" s="140" t="str">
        <f>IF(B33="","",-1*IF(E33="",0,'Fixed Costs'!$E$40))</f>
        <v/>
      </c>
      <c r="U33" s="141" t="str">
        <f t="shared" si="8"/>
        <v/>
      </c>
      <c r="V33" s="140" t="str">
        <f t="shared" si="9"/>
        <v/>
      </c>
      <c r="W33" s="10" t="str">
        <f>IF(B33="","",U33*-1*'General Input'!$D$37)</f>
        <v/>
      </c>
      <c r="X33" s="140" t="str">
        <f t="shared" si="10"/>
        <v/>
      </c>
      <c r="Y33" s="141" t="str">
        <f t="shared" si="11"/>
        <v/>
      </c>
      <c r="Z33" s="140" t="str">
        <f t="shared" si="12"/>
        <v/>
      </c>
      <c r="AA33" s="140" t="str">
        <f t="shared" si="13"/>
        <v/>
      </c>
      <c r="AB33" s="141" t="str">
        <f t="shared" si="14"/>
        <v/>
      </c>
      <c r="AC33" s="141" t="str">
        <f>IF(B33="","",AB33/(1+'General Input'!$D$38)^('Cash Flows'!B33-'Cash Flows'!$B$4)+AC32)</f>
        <v/>
      </c>
      <c r="AD33" s="135" t="str">
        <f>IF(B33="","",IF(B33=SUM('General Input'!$D$11,'General Input'!$D$7,'General Input'!$D$8),0,IF(B33&lt;SUM('General Input'!$D$11,'General Input'!$D$7,'General Input'!$D$8),0,'Cash Flows'!B33-SUM('General Input'!$D$11,'General Input'!$D$7,'General Input'!$D$8))))</f>
        <v/>
      </c>
      <c r="AE33" s="141" t="str">
        <f t="shared" si="15"/>
        <v/>
      </c>
    </row>
    <row r="34" spans="2:31">
      <c r="B34" s="26" t="str">
        <f>IF('Input Summary'!A52&gt;0,'Input Summary'!A52,"")</f>
        <v/>
      </c>
      <c r="C34" s="137">
        <f>IF('Input Summary'!E52="",0,'Input Summary'!E52)</f>
        <v>0</v>
      </c>
      <c r="D34" s="138" t="str">
        <f t="shared" si="0"/>
        <v/>
      </c>
      <c r="E34" s="139" t="str">
        <f>IF(B34="","",IF((B34+1)&gt;SUM('General Input'!D$7:D$8,'General Input'!D$11),VLOOKUP(B34,'Selling Price'!$A$8:$D$58,4,FALSE),""))</f>
        <v/>
      </c>
      <c r="F34" s="10" t="str">
        <f>IF(E34="","",(E34)*'Input Summary'!$C$15*'Input Summary'!E52)</f>
        <v/>
      </c>
      <c r="G34" s="140" t="str">
        <f t="shared" si="1"/>
        <v/>
      </c>
      <c r="H34" s="140" t="str">
        <f>IF(B34="","",(-1*IF(ISNA(VLOOKUP(B34,'Total Permanent Investment'!$D$4:$E$6,2,FALSE)),0,VLOOKUP(B34,'Total Permanent Investment'!$D$4:$E$6,2,FALSE)*'Cost Summary'!$H$113)))</f>
        <v/>
      </c>
      <c r="I34" s="140" t="str">
        <f t="shared" si="2"/>
        <v/>
      </c>
      <c r="J34" s="140" t="str">
        <f>IF(B34="","",-1*(C35-C34)*'Var Costs &amp; WC'!$K$19)</f>
        <v/>
      </c>
      <c r="K34" s="140" t="str">
        <f t="shared" si="3"/>
        <v/>
      </c>
      <c r="L34" s="140" t="str">
        <f>IF(B34="","",-1*IF('General Input'!$D$41&gt;0,(1+'General Input'!$D$41)^('Cash Flows'!AD34)*C34*'Cost Summary'!$G$22,(1+'General Input'!$D$39*'Profitability Measures'!$R$40)^('Cash Flows'!AD34)*C34*'Cost Summary'!$G$22))</f>
        <v/>
      </c>
      <c r="M34" s="140" t="str">
        <f t="shared" si="4"/>
        <v/>
      </c>
      <c r="N34" s="140" t="str">
        <f>IF(B34="","",IF(B34&lt;SUM('General Input'!$D$11,'General Input'!$D$7:$D$8),0,-1*IF('General Input'!$D$42&gt;0,'Cost Summary'!$G$66*(1+'General Input'!$D$42)^('Cash Flows'!B34-SUM('General Input'!$D$11,'General Input'!$D$7:$D$8)),'Cost Summary'!$G$66*(1+'General Input'!$D$39*'Profitability Measures'!$R$40)^('Cash Flows'!B34-SUM('General Input'!$D$11,'General Input'!$D$7:$D$8))))-IF(B34='Cost Summary'!$E$68,'Cost Summary'!$G$68,0))</f>
        <v/>
      </c>
      <c r="O34" s="140" t="e">
        <f t="shared" si="5"/>
        <v>#VALUE!</v>
      </c>
      <c r="P34" s="15" t="str">
        <f>IF(B34="","",IF('Input Summary'!F52="",0,'Input Summary'!F52))</f>
        <v/>
      </c>
      <c r="Q34" s="140" t="str">
        <f t="shared" si="6"/>
        <v/>
      </c>
      <c r="R34" s="140" t="str">
        <f>IF(B34="","",-1*IF(P34="",0,'Cost Summary'!$H$103*'Cash Flows'!P34))</f>
        <v/>
      </c>
      <c r="S34" s="140" t="str">
        <f t="shared" si="7"/>
        <v/>
      </c>
      <c r="T34" s="140" t="str">
        <f>IF(B34="","",-1*IF(E34="",0,'Fixed Costs'!$E$40))</f>
        <v/>
      </c>
      <c r="U34" s="141" t="str">
        <f t="shared" si="8"/>
        <v/>
      </c>
      <c r="V34" s="140" t="str">
        <f t="shared" si="9"/>
        <v/>
      </c>
      <c r="W34" s="10" t="str">
        <f>IF(B34="","",U34*-1*'General Input'!$D$37)</f>
        <v/>
      </c>
      <c r="X34" s="140" t="str">
        <f t="shared" si="10"/>
        <v/>
      </c>
      <c r="Y34" s="141" t="str">
        <f t="shared" si="11"/>
        <v/>
      </c>
      <c r="Z34" s="140" t="str">
        <f t="shared" si="12"/>
        <v/>
      </c>
      <c r="AA34" s="140" t="str">
        <f t="shared" si="13"/>
        <v/>
      </c>
      <c r="AB34" s="141" t="str">
        <f t="shared" si="14"/>
        <v/>
      </c>
      <c r="AC34" s="141" t="str">
        <f>IF(B34="","",AB34/(1+'General Input'!$D$38)^('Cash Flows'!B34-'Cash Flows'!$B$4)+AC33)</f>
        <v/>
      </c>
      <c r="AD34" s="135" t="str">
        <f>IF(B34="","",IF(B34=SUM('General Input'!$D$11,'General Input'!$D$7,'General Input'!$D$8),0,IF(B34&lt;SUM('General Input'!$D$11,'General Input'!$D$7,'General Input'!$D$8),0,'Cash Flows'!B34-SUM('General Input'!$D$11,'General Input'!$D$7,'General Input'!$D$8))))</f>
        <v/>
      </c>
      <c r="AE34" s="141" t="str">
        <f t="shared" si="15"/>
        <v/>
      </c>
    </row>
    <row r="35" spans="2:31">
      <c r="B35" s="26" t="str">
        <f>IF('Input Summary'!A53&gt;0,'Input Summary'!A53,"")</f>
        <v/>
      </c>
      <c r="C35" s="137">
        <f>IF('Input Summary'!E53="",0,'Input Summary'!E53)</f>
        <v>0</v>
      </c>
      <c r="D35" s="138" t="str">
        <f t="shared" si="0"/>
        <v/>
      </c>
      <c r="E35" s="139" t="str">
        <f>IF(B35="","",IF((B35+1)&gt;SUM('General Input'!D$7:D$8,'General Input'!D$11),VLOOKUP(B35,'Selling Price'!$A$8:$D$58,4,FALSE),""))</f>
        <v/>
      </c>
      <c r="F35" s="10" t="str">
        <f>IF(E35="","",(E35)*'Input Summary'!$C$15*'Input Summary'!E53)</f>
        <v/>
      </c>
      <c r="G35" s="140" t="str">
        <f t="shared" si="1"/>
        <v/>
      </c>
      <c r="H35" s="140" t="str">
        <f>IF(B35="","",(-1*IF(ISNA(VLOOKUP(B35,'Total Permanent Investment'!$D$4:$E$6,2,FALSE)),0,VLOOKUP(B35,'Total Permanent Investment'!$D$4:$E$6,2,FALSE)*'Cost Summary'!$H$113)))</f>
        <v/>
      </c>
      <c r="I35" s="140" t="str">
        <f t="shared" si="2"/>
        <v/>
      </c>
      <c r="J35" s="140" t="str">
        <f>IF(B35="","",-1*(C36-C35)*'Var Costs &amp; WC'!$K$19)</f>
        <v/>
      </c>
      <c r="K35" s="140" t="str">
        <f t="shared" si="3"/>
        <v/>
      </c>
      <c r="L35" s="140" t="str">
        <f>IF(B35="","",-1*IF('General Input'!$D$41&gt;0,(1+'General Input'!$D$41)^('Cash Flows'!AD35)*C35*'Cost Summary'!$G$22,(1+'General Input'!$D$39*'Profitability Measures'!$R$40)^('Cash Flows'!AD35)*C35*'Cost Summary'!$G$22))</f>
        <v/>
      </c>
      <c r="M35" s="140" t="str">
        <f t="shared" si="4"/>
        <v/>
      </c>
      <c r="N35" s="140" t="str">
        <f>IF(B35="","",IF(B35&lt;SUM('General Input'!$D$11,'General Input'!$D$7:$D$8),0,-1*IF('General Input'!$D$42&gt;0,'Cost Summary'!$G$66*(1+'General Input'!$D$42)^('Cash Flows'!B35-SUM('General Input'!$D$11,'General Input'!$D$7:$D$8)),'Cost Summary'!$G$66*(1+'General Input'!$D$39*'Profitability Measures'!$R$40)^('Cash Flows'!B35-SUM('General Input'!$D$11,'General Input'!$D$7:$D$8))))-IF(B35='Cost Summary'!$E$68,'Cost Summary'!$G$68,0))</f>
        <v/>
      </c>
      <c r="O35" s="140" t="e">
        <f t="shared" si="5"/>
        <v>#VALUE!</v>
      </c>
      <c r="P35" s="15" t="str">
        <f>IF(B35="","",IF('Input Summary'!F53="",0,'Input Summary'!F53))</f>
        <v/>
      </c>
      <c r="Q35" s="140" t="str">
        <f t="shared" si="6"/>
        <v/>
      </c>
      <c r="R35" s="140" t="str">
        <f>IF(B35="","",-1*IF(P35="",0,'Cost Summary'!$H$103*'Cash Flows'!P35))</f>
        <v/>
      </c>
      <c r="S35" s="140" t="str">
        <f t="shared" si="7"/>
        <v/>
      </c>
      <c r="T35" s="140" t="str">
        <f>IF(B35="","",-1*IF(E35="",0,'Fixed Costs'!$E$40))</f>
        <v/>
      </c>
      <c r="U35" s="141" t="str">
        <f t="shared" si="8"/>
        <v/>
      </c>
      <c r="V35" s="140" t="str">
        <f t="shared" si="9"/>
        <v/>
      </c>
      <c r="W35" s="10" t="str">
        <f>IF(B35="","",U35*-1*'General Input'!$D$37)</f>
        <v/>
      </c>
      <c r="X35" s="140" t="str">
        <f t="shared" si="10"/>
        <v/>
      </c>
      <c r="Y35" s="141" t="str">
        <f t="shared" si="11"/>
        <v/>
      </c>
      <c r="Z35" s="140" t="str">
        <f t="shared" si="12"/>
        <v/>
      </c>
      <c r="AA35" s="140" t="str">
        <f t="shared" si="13"/>
        <v/>
      </c>
      <c r="AB35" s="141" t="str">
        <f t="shared" si="14"/>
        <v/>
      </c>
      <c r="AC35" s="141" t="str">
        <f>IF(B35="","",AB35/(1+'General Input'!$D$38)^('Cash Flows'!B35-'Cash Flows'!$B$4)+AC34)</f>
        <v/>
      </c>
      <c r="AD35" s="135" t="str">
        <f>IF(B35="","",IF(B35=SUM('General Input'!$D$11,'General Input'!$D$7,'General Input'!$D$8),0,IF(B35&lt;SUM('General Input'!$D$11,'General Input'!$D$7,'General Input'!$D$8),0,'Cash Flows'!B35-SUM('General Input'!$D$11,'General Input'!$D$7,'General Input'!$D$8))))</f>
        <v/>
      </c>
      <c r="AE35" s="141" t="str">
        <f t="shared" si="15"/>
        <v/>
      </c>
    </row>
    <row r="36" spans="2:31">
      <c r="B36" s="26" t="str">
        <f>IF('Input Summary'!A54&gt;0,'Input Summary'!A54,"")</f>
        <v/>
      </c>
      <c r="C36" s="137">
        <f>IF('Input Summary'!E54="",0,'Input Summary'!E54)</f>
        <v>0</v>
      </c>
      <c r="D36" s="138" t="str">
        <f t="shared" si="0"/>
        <v/>
      </c>
      <c r="E36" s="139" t="str">
        <f>IF(B36="","",IF((B36+1)&gt;SUM('General Input'!D$7:D$8,'General Input'!D$11),VLOOKUP(B36,'Selling Price'!$A$8:$D$58,4,FALSE),""))</f>
        <v/>
      </c>
      <c r="F36" s="10" t="str">
        <f>IF(E36="","",(E36)*'Input Summary'!$C$15*'Input Summary'!E54)</f>
        <v/>
      </c>
      <c r="G36" s="140" t="str">
        <f t="shared" si="1"/>
        <v/>
      </c>
      <c r="H36" s="140" t="str">
        <f>IF(B36="","",(-1*IF(ISNA(VLOOKUP(B36,'Total Permanent Investment'!$D$4:$E$6,2,FALSE)),0,VLOOKUP(B36,'Total Permanent Investment'!$D$4:$E$6,2,FALSE)*'Cost Summary'!$H$113)))</f>
        <v/>
      </c>
      <c r="I36" s="140" t="str">
        <f t="shared" si="2"/>
        <v/>
      </c>
      <c r="J36" s="140" t="str">
        <f>IF(B36="","",-1*(C37-C36)*'Var Costs &amp; WC'!$K$19)</f>
        <v/>
      </c>
      <c r="K36" s="140" t="str">
        <f t="shared" si="3"/>
        <v/>
      </c>
      <c r="L36" s="140" t="str">
        <f>IF(B36="","",-1*IF('General Input'!$D$41&gt;0,(1+'General Input'!$D$41)^('Cash Flows'!AD36)*C36*'Cost Summary'!$G$22,(1+'General Input'!$D$39*'Profitability Measures'!$R$40)^('Cash Flows'!AD36)*C36*'Cost Summary'!$G$22))</f>
        <v/>
      </c>
      <c r="M36" s="140" t="str">
        <f t="shared" si="4"/>
        <v/>
      </c>
      <c r="N36" s="140" t="str">
        <f>IF(B36="","",IF(B36&lt;SUM('General Input'!$D$11,'General Input'!$D$7:$D$8),0,-1*IF('General Input'!$D$42&gt;0,'Cost Summary'!$G$66*(1+'General Input'!$D$42)^('Cash Flows'!B36-SUM('General Input'!$D$11,'General Input'!$D$7:$D$8)),'Cost Summary'!$G$66*(1+'General Input'!$D$39*'Profitability Measures'!$R$40)^('Cash Flows'!B36-SUM('General Input'!$D$11,'General Input'!$D$7:$D$8))))-IF(B36='Cost Summary'!$E$68,'Cost Summary'!$G$68,0))</f>
        <v/>
      </c>
      <c r="O36" s="140" t="e">
        <f t="shared" si="5"/>
        <v>#VALUE!</v>
      </c>
      <c r="P36" s="15" t="str">
        <f>IF(B36="","",IF('Input Summary'!F54="",0,'Input Summary'!F54))</f>
        <v/>
      </c>
      <c r="Q36" s="140" t="str">
        <f t="shared" si="6"/>
        <v/>
      </c>
      <c r="R36" s="140" t="str">
        <f>IF(B36="","",-1*IF(P36="",0,'Cost Summary'!$H$103*'Cash Flows'!P36))</f>
        <v/>
      </c>
      <c r="S36" s="140" t="str">
        <f t="shared" si="7"/>
        <v/>
      </c>
      <c r="T36" s="140" t="str">
        <f>IF(B36="","",-1*IF(E36="",0,'Fixed Costs'!$E$40))</f>
        <v/>
      </c>
      <c r="U36" s="141" t="str">
        <f t="shared" si="8"/>
        <v/>
      </c>
      <c r="V36" s="140" t="str">
        <f t="shared" si="9"/>
        <v/>
      </c>
      <c r="W36" s="10" t="str">
        <f>IF(B36="","",U36*-1*'General Input'!$D$37)</f>
        <v/>
      </c>
      <c r="X36" s="140" t="str">
        <f t="shared" si="10"/>
        <v/>
      </c>
      <c r="Y36" s="141" t="str">
        <f t="shared" si="11"/>
        <v/>
      </c>
      <c r="Z36" s="140" t="str">
        <f t="shared" si="12"/>
        <v/>
      </c>
      <c r="AA36" s="140" t="str">
        <f t="shared" si="13"/>
        <v/>
      </c>
      <c r="AB36" s="141" t="str">
        <f t="shared" si="14"/>
        <v/>
      </c>
      <c r="AC36" s="141" t="str">
        <f>IF(B36="","",AB36/(1+'General Input'!$D$38)^('Cash Flows'!B36-'Cash Flows'!$B$4)+AC35)</f>
        <v/>
      </c>
      <c r="AD36" s="135" t="str">
        <f>IF(B36="","",IF(B36=SUM('General Input'!$D$11,'General Input'!$D$7,'General Input'!$D$8),0,IF(B36&lt;SUM('General Input'!$D$11,'General Input'!$D$7,'General Input'!$D$8),0,'Cash Flows'!B36-SUM('General Input'!$D$11,'General Input'!$D$7,'General Input'!$D$8))))</f>
        <v/>
      </c>
      <c r="AE36" s="141" t="str">
        <f t="shared" si="15"/>
        <v/>
      </c>
    </row>
    <row r="37" spans="2:31">
      <c r="B37" s="26" t="str">
        <f>IF('Input Summary'!A55&gt;0,'Input Summary'!A55,"")</f>
        <v/>
      </c>
      <c r="C37" s="137">
        <f>IF('Input Summary'!E55="",0,'Input Summary'!E55)</f>
        <v>0</v>
      </c>
      <c r="D37" s="138" t="str">
        <f t="shared" si="0"/>
        <v/>
      </c>
      <c r="E37" s="139" t="str">
        <f>IF(B37="","",IF((B37+1)&gt;SUM('General Input'!D$7:D$8,'General Input'!D$11),VLOOKUP(B37,'Selling Price'!$A$8:$D$58,4,FALSE),""))</f>
        <v/>
      </c>
      <c r="F37" s="10" t="str">
        <f>IF(E37="","",(E37)*'Input Summary'!$C$15*'Input Summary'!E55)</f>
        <v/>
      </c>
      <c r="G37" s="140" t="str">
        <f t="shared" si="1"/>
        <v/>
      </c>
      <c r="H37" s="140" t="str">
        <f>IF(B37="","",(-1*IF(ISNA(VLOOKUP(B37,'Total Permanent Investment'!$D$4:$E$6,2,FALSE)),0,VLOOKUP(B37,'Total Permanent Investment'!$D$4:$E$6,2,FALSE)*'Cost Summary'!$H$113)))</f>
        <v/>
      </c>
      <c r="I37" s="140" t="str">
        <f t="shared" si="2"/>
        <v/>
      </c>
      <c r="J37" s="140" t="str">
        <f>IF(B37="","",-1*(C38-C37)*'Var Costs &amp; WC'!$K$19)</f>
        <v/>
      </c>
      <c r="K37" s="140" t="str">
        <f>IF(J37="","",ROUND(J37,-2))</f>
        <v/>
      </c>
      <c r="L37" s="140" t="str">
        <f>IF(B37="","",-1*IF('General Input'!$D$41&gt;0,(1+'General Input'!$D$41)^('Cash Flows'!AD37)*C37*'Cost Summary'!$G$22,(1+'General Input'!$D$39*'Profitability Measures'!$R$40)^('Cash Flows'!AD37)*C37*'Cost Summary'!$G$22))</f>
        <v/>
      </c>
      <c r="M37" s="140" t="str">
        <f t="shared" si="4"/>
        <v/>
      </c>
      <c r="N37" s="140" t="str">
        <f>IF(B37="","",IF(B37&lt;SUM('General Input'!$D$11,'General Input'!$D$7:$D$8),0,-1*IF('General Input'!$D$42&gt;0,'Cost Summary'!$G$66*(1+'General Input'!$D$42)^('Cash Flows'!B37-SUM('General Input'!$D$11,'General Input'!$D$7:$D$8)),'Cost Summary'!$G$66*(1+'General Input'!$D$39*'Profitability Measures'!$R$40)^('Cash Flows'!B37-SUM('General Input'!$D$11,'General Input'!$D$7:$D$8))))-IF(B37='Cost Summary'!$E$68,'Cost Summary'!$G$68,0))</f>
        <v/>
      </c>
      <c r="O37" s="140" t="e">
        <f t="shared" si="5"/>
        <v>#VALUE!</v>
      </c>
      <c r="P37" s="15" t="str">
        <f>IF(B37="","",IF('Input Summary'!F55="",0,'Input Summary'!F55))</f>
        <v/>
      </c>
      <c r="Q37" s="140" t="str">
        <f t="shared" si="6"/>
        <v/>
      </c>
      <c r="R37" s="140" t="str">
        <f>IF(B37="","",-1*IF(P37="",0,'Cost Summary'!$H$103*'Cash Flows'!P37))</f>
        <v/>
      </c>
      <c r="S37" s="140" t="str">
        <f t="shared" si="7"/>
        <v/>
      </c>
      <c r="T37" s="140" t="str">
        <f>IF(B37="","",-1*IF(E37="",0,'Fixed Costs'!$E$40))</f>
        <v/>
      </c>
      <c r="U37" s="141" t="str">
        <f t="shared" si="8"/>
        <v/>
      </c>
      <c r="V37" s="140" t="str">
        <f t="shared" si="9"/>
        <v/>
      </c>
      <c r="W37" s="10" t="str">
        <f>IF(B37="","",U37*-1*'General Input'!$D$37)</f>
        <v/>
      </c>
      <c r="X37" s="140" t="str">
        <f t="shared" si="10"/>
        <v/>
      </c>
      <c r="Y37" s="141" t="str">
        <f t="shared" si="11"/>
        <v/>
      </c>
      <c r="Z37" s="140" t="str">
        <f t="shared" si="12"/>
        <v/>
      </c>
      <c r="AA37" s="140" t="str">
        <f t="shared" si="13"/>
        <v/>
      </c>
      <c r="AB37" s="141" t="str">
        <f t="shared" si="14"/>
        <v/>
      </c>
      <c r="AC37" s="141" t="str">
        <f>IF(B37="","",AB37/(1+'General Input'!$D$38)^('Cash Flows'!B37-'Cash Flows'!$B$4)+AC36)</f>
        <v/>
      </c>
      <c r="AD37" s="135" t="str">
        <f>IF(B37="","",IF(B37=SUM('General Input'!$D$11,'General Input'!$D$7,'General Input'!$D$8),0,IF(B37&lt;SUM('General Input'!$D$11,'General Input'!$D$7,'General Input'!$D$8),0,'Cash Flows'!B37-SUM('General Input'!$D$11,'General Input'!$D$7,'General Input'!$D$8))))</f>
        <v/>
      </c>
      <c r="AE37" s="141" t="str">
        <f t="shared" si="15"/>
        <v/>
      </c>
    </row>
    <row r="38" spans="2:31">
      <c r="B38" s="26" t="str">
        <f>IF('Input Summary'!A56&gt;0,'Input Summary'!A56,"")</f>
        <v/>
      </c>
      <c r="C38" s="137">
        <f>IF('Input Summary'!E56="",0,'Input Summary'!E56)</f>
        <v>0</v>
      </c>
      <c r="D38" s="138" t="str">
        <f t="shared" si="0"/>
        <v/>
      </c>
      <c r="E38" s="139" t="str">
        <f>IF(B38="","",IF((B38+1)&gt;SUM('General Input'!D$7:D$8,'General Input'!D$11),VLOOKUP(B38,'Selling Price'!$A$8:$D$58,4,FALSE),""))</f>
        <v/>
      </c>
      <c r="F38" s="10" t="str">
        <f>IF(E38="","",(E38)*'Input Summary'!$C$15*'Input Summary'!E56)</f>
        <v/>
      </c>
      <c r="G38" s="140" t="str">
        <f t="shared" si="1"/>
        <v/>
      </c>
      <c r="H38" s="140" t="str">
        <f>IF(B38="","",(-1*IF(ISNA(VLOOKUP(B38,'Total Permanent Investment'!$D$4:$E$6,2,FALSE)),0,VLOOKUP(B38,'Total Permanent Investment'!$D$4:$E$6,2,FALSE)*'Cost Summary'!$H$113)))</f>
        <v/>
      </c>
      <c r="I38" s="140" t="str">
        <f t="shared" si="2"/>
        <v/>
      </c>
      <c r="J38" s="140" t="str">
        <f>IF(B38="","",-1*(C39-C38)*'Var Costs &amp; WC'!$K$19)</f>
        <v/>
      </c>
      <c r="K38" s="140" t="str">
        <f t="shared" si="3"/>
        <v/>
      </c>
      <c r="L38" s="140" t="str">
        <f>IF(B38="","",-1*IF('General Input'!$D$41&gt;0,(1+'General Input'!$D$41)^('Cash Flows'!AD38)*C38*'Cost Summary'!$G$22,(1+'General Input'!$D$39*'Profitability Measures'!$R$40)^('Cash Flows'!AD38)*C38*'Cost Summary'!$G$22))</f>
        <v/>
      </c>
      <c r="M38" s="140" t="str">
        <f t="shared" si="4"/>
        <v/>
      </c>
      <c r="N38" s="140" t="str">
        <f>IF(B38="","",IF(B38&lt;SUM('General Input'!$D$11,'General Input'!$D$7:$D$8),0,-1*IF('General Input'!$D$42&gt;0,'Cost Summary'!$G$66*(1+'General Input'!$D$42)^('Cash Flows'!B38-SUM('General Input'!$D$11,'General Input'!$D$7:$D$8)),'Cost Summary'!$G$66*(1+'General Input'!$D$39*'Profitability Measures'!$R$40)^('Cash Flows'!B38-SUM('General Input'!$D$11,'General Input'!$D$7:$D$8))))-IF(B38='Cost Summary'!$E$68,'Cost Summary'!$G$68,0))</f>
        <v/>
      </c>
      <c r="O38" s="140" t="e">
        <f>N38+L38</f>
        <v>#VALUE!</v>
      </c>
      <c r="P38" s="15" t="str">
        <f>IF(B38="","",IF('Input Summary'!H56="",0,'Input Summary'!H56))</f>
        <v/>
      </c>
      <c r="Q38" s="140" t="str">
        <f t="shared" si="6"/>
        <v/>
      </c>
      <c r="R38" s="140" t="str">
        <f>IF(B38="","",-1*IF(P38="",0,'Cost Summary'!$H$103*'Cash Flows'!P38))</f>
        <v/>
      </c>
      <c r="S38" s="140" t="str">
        <f t="shared" si="7"/>
        <v/>
      </c>
      <c r="T38" s="140" t="str">
        <f>IF(B38="","",-1*IF(E38="",0,'Fixed Costs'!$E$40))</f>
        <v/>
      </c>
      <c r="U38" s="141" t="str">
        <f t="shared" si="8"/>
        <v/>
      </c>
      <c r="V38" s="140" t="str">
        <f t="shared" si="9"/>
        <v/>
      </c>
      <c r="W38" s="10" t="str">
        <f>IF(B38="","",U38*-1*'General Input'!$D$37)</f>
        <v/>
      </c>
      <c r="X38" s="140" t="str">
        <f t="shared" si="10"/>
        <v/>
      </c>
      <c r="Y38" s="141" t="str">
        <f t="shared" si="11"/>
        <v/>
      </c>
      <c r="Z38" s="140" t="str">
        <f t="shared" si="12"/>
        <v/>
      </c>
      <c r="AA38" s="140" t="str">
        <f t="shared" si="13"/>
        <v/>
      </c>
      <c r="AB38" s="141" t="str">
        <f t="shared" si="14"/>
        <v/>
      </c>
      <c r="AC38" s="141" t="str">
        <f>IF(B38="","",AB38/(1+'General Input'!$D$38)^('Cash Flows'!B38-'Cash Flows'!$B$4)+AC37)</f>
        <v/>
      </c>
      <c r="AD38" s="135" t="str">
        <f>IF(B38="","",IF(B38=SUM('General Input'!$D$11,'General Input'!$D$7,'General Input'!$D$8),0,IF(B38&lt;SUM('General Input'!$D$11,'General Input'!$D$7,'General Input'!$D$8),0,'Cash Flows'!B38-SUM('General Input'!$D$11,'General Input'!$D$7,'General Input'!$D$8))))</f>
        <v/>
      </c>
      <c r="AE38" s="141" t="str">
        <f t="shared" si="15"/>
        <v/>
      </c>
    </row>
    <row r="39" spans="2:31">
      <c r="C39" s="137">
        <f>IF('Input Summary'!E57="",0,'Input Summary'!E57)</f>
        <v>0</v>
      </c>
      <c r="D39" s="138" t="str">
        <f t="shared" si="0"/>
        <v/>
      </c>
      <c r="E39" s="139" t="str">
        <f>IF(B39="","",IF((B39+1)&gt;SUM('General Input'!D$7:D$8,'General Input'!D$11),VLOOKUP(B39,'Selling Price'!$A$8:$D$58,4,FALSE),""))</f>
        <v/>
      </c>
      <c r="G39" s="140" t="str">
        <f t="shared" si="1"/>
        <v/>
      </c>
      <c r="H39" s="140" t="str">
        <f>IF(B39="","",(-1*IF(ISNA(VLOOKUP(B39,'Total Permanent Investment'!$D$4:$E$6,2,FALSE)),0,VLOOKUP(B39,'Total Permanent Investment'!$D$4:$E$6,2,FALSE)*'Cost Summary'!$H$113)))</f>
        <v/>
      </c>
      <c r="I39" s="140" t="str">
        <f t="shared" si="2"/>
        <v/>
      </c>
      <c r="J39" s="140" t="str">
        <f>IF(B39="","",-1*(C40-C39)*'Var Costs &amp; WC'!$K$19)</f>
        <v/>
      </c>
      <c r="K39" s="140" t="str">
        <f t="shared" si="3"/>
        <v/>
      </c>
      <c r="L39" s="140" t="str">
        <f>IF(B39="","",-1*IF('General Input'!$D$41&gt;0,(1+'General Input'!$D$41)^('Cash Flows'!AD39)*C39*'Cost Summary'!$G$22,(1+'General Input'!$D$39*'Profitability Measures'!$R$40)^('Cash Flows'!AD39)*C39*'Cost Summary'!$G$22))</f>
        <v/>
      </c>
      <c r="M39" s="140" t="str">
        <f t="shared" si="4"/>
        <v/>
      </c>
      <c r="N39" s="140" t="str">
        <f>IF(B39="","",IF(B39&lt;SUM('General Input'!$D$11,'General Input'!$D$7:$D$8),0,-1*IF('General Input'!$D$42&gt;0,'Cost Summary'!$G$66*(1+'General Input'!$D$42)^('Cash Flows'!B39-SUM('General Input'!$D$11,'General Input'!$D$7:$D$8)),'Cost Summary'!$G$66*(1+'General Input'!$D$39*'Profitability Measures'!$R$40)^('Cash Flows'!B39-SUM('General Input'!$D$11,'General Input'!$D$7:$D$8))))-IF(B39='Cost Summary'!$E$68,'Cost Summary'!$G$68,0))</f>
        <v/>
      </c>
      <c r="O39" s="140" t="e">
        <f t="shared" si="5"/>
        <v>#VALUE!</v>
      </c>
      <c r="P39" s="15"/>
      <c r="Q39" s="140" t="str">
        <f t="shared" si="6"/>
        <v/>
      </c>
      <c r="R39" s="140" t="str">
        <f>IF(B39="","",-1*IF(P39="",0,'Cost Summary'!$H$103*'Cash Flows'!P39))</f>
        <v/>
      </c>
      <c r="S39" s="140" t="str">
        <f t="shared" si="7"/>
        <v/>
      </c>
      <c r="T39" s="140" t="str">
        <f>IF(B39="","",-1*IF(E39="",0,'Fixed Costs'!$E$40))</f>
        <v/>
      </c>
      <c r="U39" s="141" t="str">
        <f t="shared" si="8"/>
        <v/>
      </c>
      <c r="V39" s="140" t="str">
        <f t="shared" si="9"/>
        <v/>
      </c>
      <c r="W39" s="10" t="str">
        <f>IF(B39="","",U39*-1*'General Input'!$D$37)</f>
        <v/>
      </c>
      <c r="X39" s="140" t="str">
        <f t="shared" si="10"/>
        <v/>
      </c>
      <c r="AC39" s="141" t="str">
        <f>IF(B39="","",AB39/(1+'General Input'!$D$38)^('Cash Flows'!B39-'Cash Flows'!$B$4)+AC38)</f>
        <v/>
      </c>
      <c r="AD39" s="135" t="str">
        <f>IF(B39="","",IF(B39=SUM('General Input'!$D$11,'General Input'!$D$7,'General Input'!$D$8),0,IF(B39&lt;SUM('General Input'!$D$11,'General Input'!$D$7,'General Input'!$D$8),0,'Cash Flows'!B39-SUM('General Input'!$D$11,'General Input'!$D$7,'General Input'!$D$8))))</f>
        <v/>
      </c>
      <c r="AE39" s="141" t="str">
        <f t="shared" si="15"/>
        <v/>
      </c>
    </row>
    <row r="40" spans="2:31">
      <c r="C40" s="137">
        <f>IF('Input Summary'!E58="",0,'Input Summary'!E58)</f>
        <v>0</v>
      </c>
      <c r="D40" s="138" t="str">
        <f>IF(B40="","",C40)</f>
        <v/>
      </c>
      <c r="E40" s="139" t="str">
        <f>IF(B40="","",IF((B40+1)&gt;SUM('General Input'!D$7:D$8,'General Input'!D$11),VLOOKUP(B40,'Selling Price'!$A$8:$D$58,4,FALSE),""))</f>
        <v/>
      </c>
      <c r="F40" s="10" t="str">
        <f>IF(E40="","",(E40+('General Input'!$F$86*(E40/'Selling Price'!$D$8)))*'Input Summary'!$C$15*'Input Summary'!E58)</f>
        <v/>
      </c>
      <c r="G40" s="140" t="str">
        <f t="shared" si="1"/>
        <v/>
      </c>
      <c r="H40" s="140" t="str">
        <f>IF(B40="","",(-1*IF(ISNA(VLOOKUP(B40,'Total Permanent Investment'!$D$4:$E$6,2,FALSE)),0,VLOOKUP(B40,'Total Permanent Investment'!$D$4:$E$6,2,FALSE)*'Cost Summary'!$H$113)))</f>
        <v/>
      </c>
      <c r="I40" s="140" t="str">
        <f t="shared" si="2"/>
        <v/>
      </c>
      <c r="J40" s="140" t="str">
        <f>IF(B40="","",-1*(C41-C40)*'Var Costs &amp; WC'!$K$19)</f>
        <v/>
      </c>
      <c r="K40" s="140" t="str">
        <f t="shared" si="3"/>
        <v/>
      </c>
      <c r="L40" s="140" t="str">
        <f>IF(B40="","",-1*IF('General Input'!$D$41&gt;0,(1+'General Input'!$D$41)^('Cash Flows'!AD40)*C40*'Cost Summary'!$G$22,(1+'General Input'!$D$39*'Profitability Measures'!$R$40)^('Cash Flows'!AD40)*C40*'Cost Summary'!$G$22))</f>
        <v/>
      </c>
      <c r="M40" s="140" t="str">
        <f t="shared" si="4"/>
        <v/>
      </c>
      <c r="N40" s="140" t="str">
        <f>IF(B40="","",IF(B40&lt;SUM('General Input'!$D$11,'General Input'!$D$7:$D$8),0,-1*IF('General Input'!$D$42&gt;0,'Cost Summary'!$G$66*(1+'General Input'!$D$42)^('Cash Flows'!B40-SUM('General Input'!$D$11,'General Input'!$D$7:$D$8)),'Cost Summary'!$G$66*(1+'General Input'!$D$39*'Profitability Measures'!$R$40)^('Cash Flows'!B40-SUM('General Input'!$D$11,'General Input'!$D$7:$D$8))))-IF(B40='Cost Summary'!$E$68,'Cost Summary'!$G$68,0))</f>
        <v/>
      </c>
      <c r="O40" s="140" t="e">
        <f t="shared" si="5"/>
        <v>#VALUE!</v>
      </c>
      <c r="P40" s="15"/>
      <c r="Q40" s="140" t="str">
        <f t="shared" si="6"/>
        <v/>
      </c>
      <c r="R40" s="140" t="str">
        <f>IF(B40="","",-1*IF(P40="",0,'Cost Summary'!$H$103*'Cash Flows'!P40))</f>
        <v/>
      </c>
      <c r="S40" s="140" t="str">
        <f t="shared" si="7"/>
        <v/>
      </c>
      <c r="T40" s="140" t="str">
        <f>IF(B40="","",-1*IF(E40="",0,'Fixed Costs'!$E$40))</f>
        <v/>
      </c>
      <c r="U40" s="141" t="str">
        <f t="shared" ref="U40:U45" si="16">IF(B40="","",F40+L40+N40+R40+T40)</f>
        <v/>
      </c>
      <c r="V40" s="140" t="str">
        <f t="shared" si="9"/>
        <v/>
      </c>
      <c r="W40" s="10" t="str">
        <f>IF(B40="","",U40*-1*'General Input'!$D$37)</f>
        <v/>
      </c>
      <c r="X40" s="140" t="str">
        <f t="shared" si="10"/>
        <v/>
      </c>
      <c r="AC40" s="141" t="str">
        <f>IF(B40="","",AB40/(1+'General Input'!$D$38)^('Cash Flows'!B40-'Cash Flows'!$B$4)+AC39)</f>
        <v/>
      </c>
      <c r="AD40" s="135" t="str">
        <f>IF(B40="","",IF(B40=SUM('General Input'!$D$11,'General Input'!$D$7,'General Input'!$D$8),0,IF(B40&lt;SUM('General Input'!$D$11,'General Input'!$D$7,'General Input'!$D$8),0,'Cash Flows'!B40-SUM('General Input'!$D$11,'General Input'!$D$7,'General Input'!$D$8))))</f>
        <v/>
      </c>
      <c r="AE40" s="141" t="str">
        <f t="shared" si="15"/>
        <v/>
      </c>
    </row>
    <row r="41" spans="2:31">
      <c r="C41" s="137">
        <f>IF('Input Summary'!E59="",0,'Input Summary'!E59)</f>
        <v>0</v>
      </c>
      <c r="D41" s="138" t="str">
        <f>IF(B41="","",C41)</f>
        <v/>
      </c>
      <c r="E41" s="139" t="str">
        <f>IF(B41="","",IF((B41+1)&gt;SUM('General Input'!D$7:D$8,'General Input'!D$11),VLOOKUP(B41,'Selling Price'!$A$8:$D$58,4,FALSE),""))</f>
        <v/>
      </c>
      <c r="G41" s="140" t="str">
        <f t="shared" si="1"/>
        <v/>
      </c>
      <c r="J41" s="140" t="str">
        <f>IF(B41="","",-1*(C42-C41)*'Var Costs &amp; WC'!$K$19)</f>
        <v/>
      </c>
      <c r="K41" s="140" t="str">
        <f t="shared" si="3"/>
        <v/>
      </c>
      <c r="L41" s="140" t="str">
        <f>IF(B41="","",-1*IF('General Input'!$D$41&gt;0,(1+'General Input'!$D$41)^('Cash Flows'!AD41)*C41*'Cost Summary'!$G$22,(1+'General Input'!$D$39*'Profitability Measures'!$R$40)^('Cash Flows'!AD41)*C41*'Cost Summary'!$G$22))</f>
        <v/>
      </c>
      <c r="M41" s="140" t="str">
        <f t="shared" si="4"/>
        <v/>
      </c>
      <c r="N41" s="140" t="str">
        <f>IF(B41="","",IF(B41&lt;SUM('General Input'!$D$11,'General Input'!$D$7:$D$8),0,-1*IF('General Input'!$D$42&gt;0,'Cost Summary'!$G$66*(1+'General Input'!$D$42)^('Cash Flows'!B41-SUM('General Input'!$D$11,'General Input'!$D$7:$D$8)),'Cost Summary'!$G$66*(1+'General Input'!$D$39*'Profitability Measures'!$R$40)^('Cash Flows'!B41-SUM('General Input'!$D$11,'General Input'!$D$7:$D$8))))-IF(B41='Cost Summary'!$E$68,'Cost Summary'!$G$68,0))</f>
        <v/>
      </c>
      <c r="O41" s="140" t="e">
        <f t="shared" si="5"/>
        <v>#VALUE!</v>
      </c>
      <c r="P41" s="15"/>
      <c r="Q41" s="140" t="str">
        <f t="shared" si="6"/>
        <v/>
      </c>
      <c r="R41" s="140" t="str">
        <f>IF(B41="","",-1*IF(P41="",0,'Cost Summary'!$H$103*'Cash Flows'!P41))</f>
        <v/>
      </c>
      <c r="S41" s="140" t="str">
        <f t="shared" si="7"/>
        <v/>
      </c>
      <c r="T41" s="140" t="str">
        <f>IF(B41="","",-1*IF(E41="",0,'Fixed Costs'!$E$40))</f>
        <v/>
      </c>
      <c r="U41" s="141" t="str">
        <f t="shared" si="16"/>
        <v/>
      </c>
      <c r="V41" s="140" t="str">
        <f t="shared" si="9"/>
        <v/>
      </c>
      <c r="W41" s="10" t="str">
        <f>IF(B41="","",U41*-1*'General Input'!$D$37)</f>
        <v/>
      </c>
      <c r="X41" s="140" t="str">
        <f t="shared" si="10"/>
        <v/>
      </c>
      <c r="AC41" s="141" t="str">
        <f>IF(B41="","",AB41/(1+'General Input'!$D$38)^('Cash Flows'!B41-'Cash Flows'!$B$4)+AC40)</f>
        <v/>
      </c>
      <c r="AD41" s="135" t="str">
        <f>IF(B41="","",IF(B41=SUM('General Input'!$D$11,'General Input'!$D$7,'General Input'!$D$8),0,IF(B41&lt;SUM('General Input'!$D$11,'General Input'!$D$7,'General Input'!$D$8),0,'Cash Flows'!B41-SUM('General Input'!$D$11,'General Input'!$D$7,'General Input'!$D$8))))</f>
        <v/>
      </c>
      <c r="AE41" s="141" t="str">
        <f t="shared" si="15"/>
        <v/>
      </c>
    </row>
    <row r="42" spans="2:31">
      <c r="C42" s="137">
        <f>IF('Input Summary'!E60="",0,'Input Summary'!E60)</f>
        <v>0</v>
      </c>
      <c r="D42" s="138" t="str">
        <f>IF(B42="","",C42)</f>
        <v/>
      </c>
      <c r="E42" s="139" t="str">
        <f>IF(B42="","",IF((B42+1)&gt;SUM('General Input'!D$7:D$8,'General Input'!D$11),VLOOKUP(B42,'Selling Price'!$A$8:$D$58,4,FALSE),""))</f>
        <v/>
      </c>
      <c r="F42" s="10" t="str">
        <f>IF(E42="","",(E42+('General Input'!$F$86*(E42/'Selling Price'!$D$8)))*'Input Summary'!$C$15*'Input Summary'!E60)</f>
        <v/>
      </c>
      <c r="G42" s="140" t="str">
        <f t="shared" si="1"/>
        <v/>
      </c>
      <c r="K42" s="140" t="str">
        <f t="shared" si="3"/>
        <v/>
      </c>
      <c r="L42" s="140" t="str">
        <f>IF(B42="","",-1*IF('General Input'!$D$41&gt;0,(1+'General Input'!$D$41)^('Cash Flows'!AD42)*C42*'Cost Summary'!$G$22,(1+'General Input'!$D$39*'Profitability Measures'!$R$40)^('Cash Flows'!AD42)*C42*'Cost Summary'!$G$22))</f>
        <v/>
      </c>
      <c r="M42" s="140" t="str">
        <f t="shared" si="4"/>
        <v/>
      </c>
      <c r="N42" s="140" t="str">
        <f>IF(B42="","",IF(B42&lt;SUM('General Input'!$D$11,'General Input'!$D$7:$D$8),0,-1*IF('General Input'!$D$42&gt;0,'Cost Summary'!$G$66*(1+'General Input'!$D$42)^('Cash Flows'!B42-SUM('General Input'!$D$11,'General Input'!$D$7:$D$8)),'Cost Summary'!$G$66*(1+'General Input'!$D$39*'Profitability Measures'!$R$40)^('Cash Flows'!B42-SUM('General Input'!$D$11,'General Input'!$D$7:$D$8))))-IF(B42='Cost Summary'!$E$68,'Cost Summary'!$G$68,0))</f>
        <v/>
      </c>
      <c r="O42" s="140"/>
      <c r="Q42" s="140" t="str">
        <f t="shared" si="6"/>
        <v/>
      </c>
      <c r="R42" s="140" t="str">
        <f>IF(B42="","",-1*IF(P42="",0,'Cost Summary'!$H$103*'Cash Flows'!P42))</f>
        <v/>
      </c>
      <c r="S42" s="140" t="str">
        <f t="shared" si="7"/>
        <v/>
      </c>
      <c r="T42" s="140" t="str">
        <f>IF(B42="","",-1*IF(E42="",0,'Fixed Costs'!$E$40))</f>
        <v/>
      </c>
      <c r="U42" s="141" t="str">
        <f t="shared" si="16"/>
        <v/>
      </c>
      <c r="V42" s="140" t="str">
        <f t="shared" si="9"/>
        <v/>
      </c>
      <c r="W42" s="10" t="str">
        <f>IF(B42="","",U42*-1*'General Input'!$D$37)</f>
        <v/>
      </c>
      <c r="X42" s="140" t="str">
        <f t="shared" si="10"/>
        <v/>
      </c>
      <c r="AC42" s="141" t="str">
        <f>IF(B42="","",AB42/(1+'General Input'!$D$38)^('Cash Flows'!B42-'Cash Flows'!$B$4)+AC41)</f>
        <v/>
      </c>
      <c r="AD42" s="135" t="str">
        <f>IF(B42="","",IF(B42=SUM('General Input'!$D$11,'General Input'!$D$7,'General Input'!$D$8),0,IF(B42&lt;SUM('General Input'!$D$11,'General Input'!$D$7,'General Input'!$D$8),0,'Cash Flows'!B42-SUM('General Input'!$D$11,'General Input'!$D$7,'General Input'!$D$8))))</f>
        <v/>
      </c>
      <c r="AE42" s="141" t="str">
        <f t="shared" si="15"/>
        <v/>
      </c>
    </row>
    <row r="43" spans="2:31">
      <c r="C43" s="137">
        <f>IF('Input Summary'!E61="",0,'Input Summary'!E61)</f>
        <v>0</v>
      </c>
      <c r="D43" s="138" t="str">
        <f>IF(B43="","",C43)</f>
        <v/>
      </c>
      <c r="E43" s="139" t="str">
        <f>IF(B43="","",IF((B43+1)&gt;SUM('General Input'!D$7:D$8,'General Input'!D$11),VLOOKUP(B43,'Selling Price'!$A$8:$D$58,4,FALSE),""))</f>
        <v/>
      </c>
      <c r="G43" s="140" t="str">
        <f t="shared" si="1"/>
        <v/>
      </c>
      <c r="K43" s="140" t="str">
        <f t="shared" si="3"/>
        <v/>
      </c>
      <c r="L43" s="140" t="str">
        <f>IF(B43="","",-1*IF('General Input'!$D$41&gt;0,(1+'General Input'!$D$41)^('Cash Flows'!AD43)*C43*'Cost Summary'!$G$22,(1+'General Input'!$D$39*'Profitability Measures'!$R$40)^('Cash Flows'!AD43)*C43*'Cost Summary'!$G$22))</f>
        <v/>
      </c>
      <c r="M43" s="140" t="str">
        <f t="shared" si="4"/>
        <v/>
      </c>
      <c r="N43" s="140" t="str">
        <f>IF(B43="","",IF(B43&lt;SUM('General Input'!$D$11,'General Input'!$D$7:$D$8),0,-1*IF('General Input'!$D$42&gt;0,'Cost Summary'!$G$66*(1+'General Input'!$D$42)^('Cash Flows'!B43-SUM('General Input'!$D$11,'General Input'!$D$7:$D$8)),'Cost Summary'!$G$66*(1+'General Input'!$D$39*'Profitability Measures'!$R$40)^('Cash Flows'!B43-SUM('General Input'!$D$11,'General Input'!$D$7:$D$8))))-IF(B43='Cost Summary'!$E$68,'Cost Summary'!$G$68,0))</f>
        <v/>
      </c>
      <c r="Q43" s="140" t="str">
        <f t="shared" si="6"/>
        <v/>
      </c>
      <c r="U43" s="141" t="str">
        <f t="shared" si="16"/>
        <v/>
      </c>
      <c r="V43" s="140" t="str">
        <f t="shared" si="9"/>
        <v/>
      </c>
      <c r="W43" s="10" t="str">
        <f>IF(B43="","",U43*-1*'General Input'!$D$37)</f>
        <v/>
      </c>
      <c r="X43" s="140" t="str">
        <f t="shared" si="10"/>
        <v/>
      </c>
      <c r="AC43" s="141" t="str">
        <f>IF(B43="","",AB43/(1+'General Input'!$D$38)^('Cash Flows'!B43-'Cash Flows'!$B$4)+AC42)</f>
        <v/>
      </c>
      <c r="AD43" s="135" t="str">
        <f>IF(B43="","",IF(B43=SUM('General Input'!$D$11,'General Input'!$D$7,'General Input'!$D$8),0,IF(B43&lt;SUM('General Input'!$D$11,'General Input'!$D$7,'General Input'!$D$8),0,'Cash Flows'!B43-SUM('General Input'!$D$11,'General Input'!$D$7,'General Input'!$D$8))))</f>
        <v/>
      </c>
    </row>
    <row r="44" spans="2:31">
      <c r="E44" s="139" t="str">
        <f>IF(B44="","",IF((B44+1)&gt;SUM('General Input'!D$7:D$8,'General Input'!D$11),VLOOKUP(B44,'Selling Price'!$A$8:$D$58,4,FALSE),""))</f>
        <v/>
      </c>
      <c r="F44" s="10" t="str">
        <f>IF(E44="","",(E44+('General Input'!$F$86*(E44/'Selling Price'!$D$8)))*'Input Summary'!$C$15*'Input Summary'!E62)</f>
        <v/>
      </c>
      <c r="G44" s="140" t="str">
        <f t="shared" si="1"/>
        <v/>
      </c>
      <c r="K44" s="140" t="str">
        <f t="shared" si="3"/>
        <v/>
      </c>
      <c r="L44" s="140" t="str">
        <f>IF(B44="","",-1*IF('General Input'!$D$41&gt;0,(1+'General Input'!$D$41)^('Cash Flows'!AD44)*AC44*'Cost Summary'!$G$22,(1+'General Input'!$D$39*'Profitability Measures'!$R$40)^('Cash Flows'!AD44)*AC44*'Cost Summary'!$G$22))</f>
        <v/>
      </c>
      <c r="M44" s="140" t="str">
        <f t="shared" si="4"/>
        <v/>
      </c>
      <c r="U44" s="141" t="str">
        <f t="shared" si="16"/>
        <v/>
      </c>
      <c r="V44" s="140" t="str">
        <f t="shared" si="9"/>
        <v/>
      </c>
      <c r="W44" s="10" t="str">
        <f>IF(B44="","",U44*-1*'General Input'!$D$37)</f>
        <v/>
      </c>
      <c r="X44" s="140" t="str">
        <f t="shared" si="10"/>
        <v/>
      </c>
    </row>
    <row r="45" spans="2:31">
      <c r="U45" s="141" t="str">
        <f t="shared" si="16"/>
        <v/>
      </c>
      <c r="V45" s="140" t="str">
        <f t="shared" si="9"/>
        <v/>
      </c>
    </row>
    <row r="46" spans="2:31">
      <c r="F46" s="10" t="str">
        <f>IF(E46="","",(E46+('General Input'!$F$86*(E46/'Selling Price'!$D$8)))*'Input Summary'!$C$15*'Input Summary'!E64)</f>
        <v/>
      </c>
      <c r="V46" s="140" t="str">
        <f t="shared" si="9"/>
        <v/>
      </c>
    </row>
    <row r="47" spans="2:31">
      <c r="V47" s="140" t="str">
        <f t="shared" si="9"/>
        <v/>
      </c>
    </row>
    <row r="48" spans="2:31">
      <c r="F48" s="10" t="str">
        <f>IF(E48="","",(E48+('General Input'!$F$86*(E48/'Selling Price'!$D$8)))*'Input Summary'!$C$15*'Input Summary'!E66)</f>
        <v/>
      </c>
      <c r="V48" s="140" t="str">
        <f t="shared" si="9"/>
        <v/>
      </c>
    </row>
  </sheetData>
  <sheetProtection algorithmName="SHA-512" hashValue="wWPaER0pmTQt2+HY6hHDMDNIwUDz0C1w/6jGfkC0Pt7zRhew3HCR/OPrFEJBChBm17g6w9C54D1sItl/Yl9Ceg==" saltValue="+6e3SWfGl8kRlnUup/kgNg==" spinCount="100000" sheet="1" objects="1" scenarios="1"/>
  <mergeCells count="6">
    <mergeCell ref="B1:AE1"/>
    <mergeCell ref="T2:T3"/>
    <mergeCell ref="E2:E3"/>
    <mergeCell ref="AE2:AE3"/>
    <mergeCell ref="D2:D3"/>
    <mergeCell ref="AC2:AC3"/>
  </mergeCells>
  <pageMargins left="0.7" right="0.7" top="0.75" bottom="0.75" header="0.3" footer="0.3"/>
  <pageSetup scale="58" orientation="landscape"/>
  <headerFooter>
    <oddHeader>&amp;C&amp;"Calibri"&amp;10&amp;K000000 Public&amp;1#_x000D_</oddHeader>
    <oddFooter>&amp;C_x000D_&amp;1#&amp;"Calibri"&amp;10&amp;K000000 Public</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A1:R57"/>
  <sheetViews>
    <sheetView showGridLines="0" tabSelected="1" zoomScale="150" zoomScaleNormal="150" workbookViewId="0">
      <selection activeCell="E15" sqref="E15"/>
    </sheetView>
  </sheetViews>
  <sheetFormatPr defaultColWidth="9.140625" defaultRowHeight="12.75"/>
  <cols>
    <col min="1" max="1" width="4.85546875" style="87" customWidth="1"/>
    <col min="2" max="2" width="12.140625" style="87" customWidth="1"/>
    <col min="3" max="3" width="12.140625" style="87" hidden="1" customWidth="1"/>
    <col min="4" max="14" width="12.140625" style="87" customWidth="1"/>
    <col min="15" max="15" width="9.140625" style="87"/>
    <col min="16" max="18" width="9.140625" style="87" hidden="1" customWidth="1"/>
    <col min="19" max="16384" width="9.140625" style="87"/>
  </cols>
  <sheetData>
    <row r="1" spans="1:14" s="146" customFormat="1" ht="20.25">
      <c r="A1" s="145" t="s">
        <v>206</v>
      </c>
      <c r="B1" s="145"/>
      <c r="C1" s="145"/>
      <c r="D1" s="145"/>
      <c r="E1" s="145"/>
      <c r="F1" s="145"/>
      <c r="G1" s="145"/>
      <c r="H1" s="145"/>
      <c r="I1" s="145"/>
      <c r="J1" s="145"/>
      <c r="K1" s="145"/>
      <c r="L1" s="145"/>
      <c r="M1" s="145"/>
      <c r="N1" s="145"/>
    </row>
    <row r="3" spans="1:14" ht="15.75">
      <c r="A3" s="147" t="s">
        <v>207</v>
      </c>
      <c r="H3" s="101">
        <f ca="1">IF(ISERROR(IRR('Cash Flows'!AB4:AB43,0.2)),"Negative IRR",IRR('Cash Flows'!AB4:AB43,0.2))</f>
        <v>1.4771544264257419</v>
      </c>
      <c r="I3" s="101"/>
    </row>
    <row r="4" spans="1:14" ht="15.75">
      <c r="A4" s="147"/>
    </row>
    <row r="5" spans="1:14" ht="15.75">
      <c r="A5" s="147" t="str">
        <f>"The Net Present Value (NPV) of this project in "&amp;'Cash Flows'!B4&amp;" is"</f>
        <v>The Net Present Value (NPV) of this project in 2024 is</v>
      </c>
      <c r="H5" s="132">
        <f ca="1">ROUND(I5,-2)</f>
        <v>684977900</v>
      </c>
      <c r="I5" s="148">
        <f ca="1">NPV('General Input'!D38,'Cash Flows'!AB5:AB44)+'Cash Flows'!AB4</f>
        <v>684977855.81265712</v>
      </c>
    </row>
    <row r="7" spans="1:14">
      <c r="H7" s="149"/>
      <c r="I7" s="149"/>
    </row>
    <row r="8" spans="1:14" ht="15.75">
      <c r="A8" s="147" t="s">
        <v>208</v>
      </c>
    </row>
    <row r="9" spans="1:14">
      <c r="H9" s="115"/>
      <c r="I9" s="115"/>
    </row>
    <row r="10" spans="1:14">
      <c r="B10" s="89" t="s">
        <v>209</v>
      </c>
      <c r="C10" s="89"/>
      <c r="D10" s="89"/>
      <c r="E10" s="150">
        <f>VLOOKUP(SUM('General Input'!$D$11,'General Input'!$D$8,'General Input'!$D$7,2),'Cash Flows'!B3:AB21,5,FALSE)</f>
        <v>277755000</v>
      </c>
      <c r="H10" s="149"/>
      <c r="I10" s="149"/>
    </row>
    <row r="11" spans="1:14">
      <c r="B11" s="89" t="s">
        <v>210</v>
      </c>
      <c r="C11" s="89"/>
      <c r="D11" s="89"/>
      <c r="E11" s="150">
        <f ca="1">VLOOKUP(SUM('General Input'!$D$11,'General Input'!$D$8,'General Input'!$D$7,2),'Cash Flows'!B4:AB22,14,FALSE)</f>
        <v>-69283173.234677702</v>
      </c>
    </row>
    <row r="12" spans="1:14">
      <c r="B12" s="89" t="s">
        <v>6</v>
      </c>
      <c r="C12" s="89"/>
      <c r="D12" s="89"/>
      <c r="E12" s="150">
        <f ca="1">-1*('Fixed Costs'!C30*('Cost Summary'!H113-'Cost Summary'!G107*'Cost Summary'!H112-'Fixed Costs'!G30*SUM('Cost Summary'!G92)*'Cost Summary'!H112)+'Fixed Costs'!C32*'Fixed Costs'!E32*('Cost Summary'!G92)*'Cost Summary'!H112)</f>
        <v>-2952114.9613865097</v>
      </c>
    </row>
    <row r="13" spans="1:14">
      <c r="B13" s="89" t="s">
        <v>211</v>
      </c>
      <c r="C13" s="89"/>
      <c r="D13" s="89"/>
      <c r="E13" s="150">
        <f ca="1">(E10+E11+E12)*'General Input'!D37*-1</f>
        <v>-47269533.714905232</v>
      </c>
    </row>
    <row r="14" spans="1:14">
      <c r="B14" s="89" t="s">
        <v>7</v>
      </c>
      <c r="C14" s="89"/>
      <c r="D14" s="89"/>
      <c r="E14" s="151">
        <f ca="1">SUM(E10:E13)</f>
        <v>158250178.08903056</v>
      </c>
    </row>
    <row r="15" spans="1:14">
      <c r="B15" s="89" t="s">
        <v>212</v>
      </c>
      <c r="C15" s="89"/>
      <c r="D15" s="89"/>
      <c r="E15" s="152">
        <f ca="1">'Var Costs &amp; WC'!K19*'General Input'!D27+'Cost Summary'!H113</f>
        <v>79620190.663644254</v>
      </c>
    </row>
    <row r="16" spans="1:14">
      <c r="B16" s="89" t="s">
        <v>213</v>
      </c>
      <c r="C16" s="89"/>
      <c r="D16" s="89"/>
      <c r="E16" s="153">
        <f ca="1">E14/E15</f>
        <v>1.9875634153849109</v>
      </c>
    </row>
    <row r="17" spans="1:18">
      <c r="D17" s="115"/>
      <c r="E17" s="154"/>
    </row>
    <row r="18" spans="1:18">
      <c r="E18" s="154"/>
    </row>
    <row r="19" spans="1:18" s="146" customFormat="1" ht="20.25">
      <c r="A19" s="145" t="s">
        <v>236</v>
      </c>
      <c r="B19" s="145"/>
      <c r="C19" s="145"/>
      <c r="D19" s="145"/>
      <c r="E19" s="145"/>
      <c r="F19" s="145"/>
      <c r="G19" s="145"/>
      <c r="H19" s="145"/>
      <c r="I19" s="145"/>
      <c r="J19" s="145"/>
      <c r="K19" s="145"/>
      <c r="L19" s="145"/>
      <c r="M19" s="145"/>
      <c r="N19" s="145"/>
    </row>
    <row r="20" spans="1:18">
      <c r="A20" s="155"/>
      <c r="B20" s="156"/>
      <c r="C20" s="156"/>
      <c r="D20" s="156"/>
      <c r="E20" s="156"/>
      <c r="F20" s="156"/>
      <c r="G20" s="156"/>
      <c r="H20" s="156"/>
      <c r="I20" s="156"/>
      <c r="J20" s="156"/>
      <c r="K20" s="156"/>
      <c r="L20" s="156"/>
      <c r="M20" s="156"/>
      <c r="N20" s="156"/>
    </row>
    <row r="21" spans="1:18">
      <c r="A21" s="155"/>
      <c r="D21" s="207" t="s">
        <v>249</v>
      </c>
      <c r="E21" s="207"/>
      <c r="F21" s="156"/>
      <c r="G21" s="156"/>
      <c r="H21" s="156"/>
      <c r="I21" s="156"/>
      <c r="J21" s="156"/>
      <c r="K21" s="156"/>
      <c r="L21" s="156"/>
      <c r="M21" s="156"/>
      <c r="N21" s="156"/>
      <c r="P21" s="87" t="s">
        <v>205</v>
      </c>
      <c r="R21" s="149">
        <f>'General Input'!D48</f>
        <v>56059.01</v>
      </c>
    </row>
    <row r="22" spans="1:18">
      <c r="A22" s="155"/>
      <c r="B22" s="88" t="s">
        <v>250</v>
      </c>
      <c r="D22" s="208">
        <v>0.5</v>
      </c>
      <c r="E22" s="209"/>
      <c r="F22" s="156"/>
      <c r="G22" s="156"/>
      <c r="H22" s="156"/>
      <c r="I22" s="156"/>
      <c r="J22" s="156"/>
      <c r="K22" s="156"/>
      <c r="L22" s="156"/>
      <c r="M22" s="156"/>
      <c r="N22" s="156"/>
      <c r="P22" s="87" t="s">
        <v>43</v>
      </c>
      <c r="R22" s="87">
        <f ca="1">'Cost Summary'!G22</f>
        <v>62383866.985035278</v>
      </c>
    </row>
    <row r="23" spans="1:18">
      <c r="A23" s="155"/>
      <c r="B23" s="88" t="s">
        <v>251</v>
      </c>
      <c r="D23" s="210">
        <v>0.5</v>
      </c>
      <c r="E23" s="211"/>
      <c r="F23" s="156"/>
      <c r="G23" s="156"/>
      <c r="H23" s="156"/>
      <c r="I23" s="156"/>
      <c r="J23" s="156"/>
      <c r="K23" s="156"/>
      <c r="L23" s="156"/>
      <c r="M23" s="156"/>
      <c r="N23" s="156"/>
      <c r="P23" s="87" t="s">
        <v>5</v>
      </c>
      <c r="R23" s="87">
        <f ca="1">'Cost Summary'!G66</f>
        <v>3560854.7136466536</v>
      </c>
    </row>
    <row r="24" spans="1:18">
      <c r="A24" s="155"/>
      <c r="B24" s="156"/>
      <c r="C24" s="156"/>
      <c r="D24" s="156"/>
      <c r="E24" s="156"/>
      <c r="F24" s="156"/>
      <c r="G24" s="156"/>
      <c r="H24" s="156"/>
      <c r="I24" s="156"/>
      <c r="J24" s="156"/>
      <c r="K24" s="156"/>
      <c r="L24" s="156"/>
      <c r="M24" s="156"/>
      <c r="N24" s="156"/>
      <c r="P24" s="87" t="s">
        <v>22</v>
      </c>
      <c r="R24" s="87">
        <f ca="1">'Cost Summary'!H113</f>
        <v>37543201.139371917</v>
      </c>
    </row>
    <row r="25" spans="1:18">
      <c r="A25" s="155"/>
      <c r="B25" s="156"/>
      <c r="C25" s="156"/>
      <c r="D25" s="214" t="s">
        <v>301</v>
      </c>
      <c r="E25" s="214"/>
      <c r="F25" s="214"/>
      <c r="G25" s="214"/>
      <c r="H25" s="214"/>
      <c r="I25" s="214"/>
      <c r="J25" s="214"/>
      <c r="K25" s="214"/>
      <c r="L25" s="214"/>
      <c r="M25" s="214"/>
      <c r="N25" s="214"/>
      <c r="P25" s="87" t="s">
        <v>237</v>
      </c>
      <c r="R25" s="125">
        <f>'General Input'!D39</f>
        <v>2.5000000000000001E-2</v>
      </c>
    </row>
    <row r="26" spans="1:18">
      <c r="A26" s="156"/>
      <c r="B26" s="156"/>
      <c r="D26" s="215" t="s">
        <v>237</v>
      </c>
      <c r="E26" s="215"/>
      <c r="F26" s="215"/>
      <c r="G26" s="215"/>
      <c r="H26" s="215"/>
      <c r="I26" s="215"/>
      <c r="J26" s="215"/>
      <c r="K26" s="215"/>
      <c r="L26" s="215"/>
      <c r="M26" s="215"/>
      <c r="N26" s="215"/>
      <c r="R26" s="149"/>
    </row>
    <row r="27" spans="1:18">
      <c r="A27" s="156"/>
      <c r="B27" s="156"/>
      <c r="C27" s="157"/>
      <c r="D27" s="162">
        <f>$I$27*D28</f>
        <v>1.2500000000000004E-2</v>
      </c>
      <c r="E27" s="162">
        <f>$I$27*E28</f>
        <v>1.5000000000000003E-2</v>
      </c>
      <c r="F27" s="162">
        <f>$I$27*F28</f>
        <v>1.7500000000000002E-2</v>
      </c>
      <c r="G27" s="162">
        <f>$I$27*G28</f>
        <v>2.0000000000000004E-2</v>
      </c>
      <c r="H27" s="162">
        <f>$I$27*H28</f>
        <v>2.2500000000000003E-2</v>
      </c>
      <c r="I27" s="163">
        <f>VLOOKUP(D26,P21:R26,3,FALSE)</f>
        <v>2.5000000000000001E-2</v>
      </c>
      <c r="J27" s="162">
        <f>$I$27*J28</f>
        <v>2.7500000000000004E-2</v>
      </c>
      <c r="K27" s="162">
        <f>$I$27*K28</f>
        <v>3.0000000000000006E-2</v>
      </c>
      <c r="L27" s="162">
        <f>$I$27*L28</f>
        <v>3.2500000000000008E-2</v>
      </c>
      <c r="M27" s="162">
        <f>$I$27*M28</f>
        <v>3.500000000000001E-2</v>
      </c>
      <c r="N27" s="162">
        <f>$I$27*N28</f>
        <v>3.7500000000000012E-2</v>
      </c>
      <c r="R27" s="149"/>
    </row>
    <row r="28" spans="1:18" hidden="1">
      <c r="A28" s="156"/>
      <c r="B28" s="158"/>
      <c r="C28" s="157">
        <f ca="1">H3</f>
        <v>1.4771544264257419</v>
      </c>
      <c r="D28" s="87">
        <f>E28-$D$22/5</f>
        <v>0.50000000000000011</v>
      </c>
      <c r="E28" s="87">
        <f>F28-$D$22/5</f>
        <v>0.60000000000000009</v>
      </c>
      <c r="F28" s="87">
        <f>G28-$D$22/5</f>
        <v>0.70000000000000007</v>
      </c>
      <c r="G28" s="87">
        <f>H28-$D$22/5</f>
        <v>0.8</v>
      </c>
      <c r="H28" s="87">
        <f>I28-$D$22/5</f>
        <v>0.9</v>
      </c>
      <c r="I28" s="87">
        <v>1</v>
      </c>
      <c r="J28" s="87">
        <f>I28+$D$22/5</f>
        <v>1.1000000000000001</v>
      </c>
      <c r="K28" s="87">
        <f>J28+$D$22/5</f>
        <v>1.2000000000000002</v>
      </c>
      <c r="L28" s="87">
        <f>K28+$D$22/5</f>
        <v>1.3000000000000003</v>
      </c>
      <c r="M28" s="87">
        <f>L28+$D$22/5</f>
        <v>1.4000000000000004</v>
      </c>
      <c r="N28" s="87">
        <f>M28+$D$22/5</f>
        <v>1.5000000000000004</v>
      </c>
    </row>
    <row r="29" spans="1:18">
      <c r="A29" s="216" t="s">
        <v>205</v>
      </c>
      <c r="B29" s="160">
        <f>$B$34*C29</f>
        <v>28029.505000000008</v>
      </c>
      <c r="C29" s="87">
        <f>C30-$D$23/5</f>
        <v>0.50000000000000011</v>
      </c>
      <c r="D29" s="159">
        <f t="dataTable" ref="D29:N39" dt2D="1" dtr="0" r1="R33" r2="R34" ca="1"/>
        <v>0.60590614203954196</v>
      </c>
      <c r="E29" s="159">
        <v>0.60590614203954196</v>
      </c>
      <c r="F29" s="159">
        <v>0.60590614203954196</v>
      </c>
      <c r="G29" s="159">
        <v>0.60590614203954196</v>
      </c>
      <c r="H29" s="159">
        <v>0.60590614203954196</v>
      </c>
      <c r="I29" s="159">
        <v>0.60590614203954196</v>
      </c>
      <c r="J29" s="159">
        <v>0.60590614203954196</v>
      </c>
      <c r="K29" s="159">
        <v>0.60590614203954196</v>
      </c>
      <c r="L29" s="159">
        <v>0.60590614203954196</v>
      </c>
      <c r="M29" s="159">
        <v>0.60590614203954196</v>
      </c>
      <c r="N29" s="159">
        <v>0.60590614203954196</v>
      </c>
    </row>
    <row r="30" spans="1:18">
      <c r="A30" s="216"/>
      <c r="B30" s="160">
        <f>$B$34*C30</f>
        <v>33635.406000000003</v>
      </c>
      <c r="C30" s="87">
        <f>C31-$D$23/5</f>
        <v>0.60000000000000009</v>
      </c>
      <c r="D30" s="159">
        <v>0.80693187403659294</v>
      </c>
      <c r="E30" s="159">
        <v>0.80693187403659294</v>
      </c>
      <c r="F30" s="159">
        <v>0.80693187403659294</v>
      </c>
      <c r="G30" s="159">
        <v>0.80693187403659294</v>
      </c>
      <c r="H30" s="159">
        <v>0.80693187403659294</v>
      </c>
      <c r="I30" s="159">
        <v>0.80693187403659294</v>
      </c>
      <c r="J30" s="159">
        <v>0.80693187403659294</v>
      </c>
      <c r="K30" s="159">
        <v>0.80693187403659294</v>
      </c>
      <c r="L30" s="159">
        <v>0.80693187403659294</v>
      </c>
      <c r="M30" s="159">
        <v>0.80693187403659294</v>
      </c>
      <c r="N30" s="159">
        <v>0.80693187403659294</v>
      </c>
    </row>
    <row r="31" spans="1:18">
      <c r="A31" s="216"/>
      <c r="B31" s="160">
        <f>$B$34*C31</f>
        <v>39241.307000000008</v>
      </c>
      <c r="C31" s="87">
        <f>C32-$D$23/5</f>
        <v>0.70000000000000007</v>
      </c>
      <c r="D31" s="159">
        <v>0.99075397085765604</v>
      </c>
      <c r="E31" s="159">
        <v>0.99075397085765604</v>
      </c>
      <c r="F31" s="159">
        <v>0.99075397085765604</v>
      </c>
      <c r="G31" s="159">
        <v>0.99075397085765604</v>
      </c>
      <c r="H31" s="159">
        <v>0.99075397085765604</v>
      </c>
      <c r="I31" s="159">
        <v>0.99075397085765604</v>
      </c>
      <c r="J31" s="159">
        <v>0.99075397085765604</v>
      </c>
      <c r="K31" s="159">
        <v>0.99075397085765604</v>
      </c>
      <c r="L31" s="159">
        <v>0.99075397085765604</v>
      </c>
      <c r="M31" s="159">
        <v>0.99075397085765604</v>
      </c>
      <c r="N31" s="159">
        <v>0.99075397085765604</v>
      </c>
    </row>
    <row r="32" spans="1:18">
      <c r="A32" s="216"/>
      <c r="B32" s="160">
        <f>$B$34*C32</f>
        <v>44847.208000000006</v>
      </c>
      <c r="C32" s="87">
        <f>C33-$D$23/5</f>
        <v>0.8</v>
      </c>
      <c r="D32" s="159">
        <v>1.1621984776597203</v>
      </c>
      <c r="E32" s="159">
        <v>1.1621984776597203</v>
      </c>
      <c r="F32" s="159">
        <v>1.1621984776597203</v>
      </c>
      <c r="G32" s="159">
        <v>1.1621984776597203</v>
      </c>
      <c r="H32" s="159">
        <v>1.1621984776597203</v>
      </c>
      <c r="I32" s="159">
        <v>1.1621984776597203</v>
      </c>
      <c r="J32" s="159">
        <v>1.1621984776597203</v>
      </c>
      <c r="K32" s="159">
        <v>1.1621984776597203</v>
      </c>
      <c r="L32" s="159">
        <v>1.1621984776597203</v>
      </c>
      <c r="M32" s="159">
        <v>1.1621984776597203</v>
      </c>
      <c r="N32" s="159">
        <v>1.1621984776597203</v>
      </c>
    </row>
    <row r="33" spans="1:18">
      <c r="A33" s="216"/>
      <c r="B33" s="160">
        <f>$B$34*C33</f>
        <v>50453.109000000004</v>
      </c>
      <c r="C33" s="87">
        <f>C34-$D$23/5</f>
        <v>0.9</v>
      </c>
      <c r="D33" s="159">
        <v>1.3238037270958549</v>
      </c>
      <c r="E33" s="159">
        <v>1.3238037270958549</v>
      </c>
      <c r="F33" s="159">
        <v>1.3238037270958549</v>
      </c>
      <c r="G33" s="159">
        <v>1.3238037270958549</v>
      </c>
      <c r="H33" s="159">
        <v>1.3238037270958549</v>
      </c>
      <c r="I33" s="159">
        <v>1.3238037270958549</v>
      </c>
      <c r="J33" s="159">
        <v>1.3238037270958549</v>
      </c>
      <c r="K33" s="159">
        <v>1.3238037270958549</v>
      </c>
      <c r="L33" s="159">
        <v>1.3238037270958549</v>
      </c>
      <c r="M33" s="159">
        <v>1.3238037270958549</v>
      </c>
      <c r="N33" s="159">
        <v>1.3238037270958549</v>
      </c>
      <c r="P33" s="87" t="s">
        <v>238</v>
      </c>
      <c r="R33" s="87">
        <v>1</v>
      </c>
    </row>
    <row r="34" spans="1:18">
      <c r="A34" s="216"/>
      <c r="B34" s="161">
        <f>VLOOKUP(A29,P21:R26,3,FALSE)</f>
        <v>56059.01</v>
      </c>
      <c r="C34" s="87">
        <v>1</v>
      </c>
      <c r="D34" s="159">
        <v>1.4771544264257419</v>
      </c>
      <c r="E34" s="159">
        <v>1.4771544264257419</v>
      </c>
      <c r="F34" s="159">
        <v>1.4771544264257419</v>
      </c>
      <c r="G34" s="159">
        <v>1.4771544264257419</v>
      </c>
      <c r="H34" s="159">
        <v>1.4771544264257419</v>
      </c>
      <c r="I34" s="183">
        <v>1.4771544264257419</v>
      </c>
      <c r="J34" s="159">
        <v>1.4771544264257419</v>
      </c>
      <c r="K34" s="159">
        <v>1.4771544264257419</v>
      </c>
      <c r="L34" s="159">
        <v>1.4771544264257419</v>
      </c>
      <c r="M34" s="159">
        <v>1.4771544264257419</v>
      </c>
      <c r="N34" s="159">
        <v>1.4771544264257419</v>
      </c>
      <c r="P34" s="87" t="s">
        <v>239</v>
      </c>
      <c r="R34" s="87">
        <v>1</v>
      </c>
    </row>
    <row r="35" spans="1:18">
      <c r="A35" s="216"/>
      <c r="B35" s="160">
        <f>$B$34*C35</f>
        <v>61664.911000000007</v>
      </c>
      <c r="C35" s="87">
        <f>C34+$D$23/5</f>
        <v>1.1000000000000001</v>
      </c>
      <c r="D35" s="159">
        <v>1.6233437657806924</v>
      </c>
      <c r="E35" s="159">
        <v>1.6233437657806924</v>
      </c>
      <c r="F35" s="159">
        <v>1.6233437657806924</v>
      </c>
      <c r="G35" s="159">
        <v>1.6233437657806924</v>
      </c>
      <c r="H35" s="159">
        <v>1.6233437657806924</v>
      </c>
      <c r="I35" s="159">
        <v>1.6233437657806924</v>
      </c>
      <c r="J35" s="159">
        <v>1.6233437657806924</v>
      </c>
      <c r="K35" s="159">
        <v>1.6233437657806924</v>
      </c>
      <c r="L35" s="159">
        <v>1.6233437657806924</v>
      </c>
      <c r="M35" s="159">
        <v>1.6233437657806924</v>
      </c>
      <c r="N35" s="159">
        <v>1.6233437657806924</v>
      </c>
    </row>
    <row r="36" spans="1:18">
      <c r="A36" s="216"/>
      <c r="B36" s="160">
        <f>$B$34*C36</f>
        <v>67270.812000000005</v>
      </c>
      <c r="C36" s="87">
        <f>C35+$D$23/5</f>
        <v>1.2000000000000002</v>
      </c>
      <c r="D36" s="159">
        <v>1.7631780486990953</v>
      </c>
      <c r="E36" s="159">
        <v>1.7631780486990953</v>
      </c>
      <c r="F36" s="159">
        <v>1.7631780486990953</v>
      </c>
      <c r="G36" s="159">
        <v>1.7631780486990953</v>
      </c>
      <c r="H36" s="159">
        <v>1.7631780486990953</v>
      </c>
      <c r="I36" s="159">
        <v>1.7631780486990953</v>
      </c>
      <c r="J36" s="159">
        <v>1.7631780486990953</v>
      </c>
      <c r="K36" s="159">
        <v>1.7631780486990953</v>
      </c>
      <c r="L36" s="159">
        <v>1.7631780486990953</v>
      </c>
      <c r="M36" s="159">
        <v>1.7631780486990953</v>
      </c>
      <c r="N36" s="159">
        <v>1.7631780486990953</v>
      </c>
      <c r="P36" s="87" t="s">
        <v>205</v>
      </c>
      <c r="R36" s="87">
        <f>IF(P36=$D$26,$R$33,IF(P36=$A$29,$R$34,1))</f>
        <v>1</v>
      </c>
    </row>
    <row r="37" spans="1:18">
      <c r="A37" s="216"/>
      <c r="B37" s="160">
        <f>$B$34*C37</f>
        <v>72876.713000000018</v>
      </c>
      <c r="C37" s="87">
        <f>C36+$D$23/5</f>
        <v>1.3000000000000003</v>
      </c>
      <c r="D37" s="159">
        <v>1.897281549396284</v>
      </c>
      <c r="E37" s="159">
        <v>1.897281549396284</v>
      </c>
      <c r="F37" s="159">
        <v>1.897281549396284</v>
      </c>
      <c r="G37" s="159">
        <v>1.897281549396284</v>
      </c>
      <c r="H37" s="159">
        <v>1.897281549396284</v>
      </c>
      <c r="I37" s="159">
        <v>1.897281549396284</v>
      </c>
      <c r="J37" s="159">
        <v>1.897281549396284</v>
      </c>
      <c r="K37" s="159">
        <v>1.897281549396284</v>
      </c>
      <c r="L37" s="159">
        <v>1.897281549396284</v>
      </c>
      <c r="M37" s="159">
        <v>1.897281549396284</v>
      </c>
      <c r="N37" s="159">
        <v>1.897281549396284</v>
      </c>
      <c r="P37" s="87" t="s">
        <v>43</v>
      </c>
      <c r="R37" s="87">
        <f>IF(P37=$D$26,$R$33,IF(P37=$A$29,$R$34,1))</f>
        <v>1</v>
      </c>
    </row>
    <row r="38" spans="1:18">
      <c r="A38" s="216"/>
      <c r="B38" s="160">
        <f>$B$34*C38</f>
        <v>78482.614000000016</v>
      </c>
      <c r="C38" s="87">
        <f>C37+$D$23/5</f>
        <v>1.4000000000000004</v>
      </c>
      <c r="D38" s="159">
        <v>2.0261557427809347</v>
      </c>
      <c r="E38" s="159">
        <v>2.0261557427809347</v>
      </c>
      <c r="F38" s="159">
        <v>2.0261557427809347</v>
      </c>
      <c r="G38" s="159">
        <v>2.0261557427809347</v>
      </c>
      <c r="H38" s="159">
        <v>2.0261557427809347</v>
      </c>
      <c r="I38" s="159">
        <v>2.0261557427809347</v>
      </c>
      <c r="J38" s="159">
        <v>2.0261557427809347</v>
      </c>
      <c r="K38" s="159">
        <v>2.0261557427809347</v>
      </c>
      <c r="L38" s="159">
        <v>2.0261557427809347</v>
      </c>
      <c r="M38" s="159">
        <v>2.0261557427809347</v>
      </c>
      <c r="N38" s="159">
        <v>2.0261557427809347</v>
      </c>
      <c r="P38" s="87" t="s">
        <v>5</v>
      </c>
      <c r="R38" s="87">
        <f>IF(P38=$D$26,$R$33,IF(P38=$A$29,$R$34,1))</f>
        <v>1</v>
      </c>
    </row>
    <row r="39" spans="1:18">
      <c r="A39" s="216"/>
      <c r="B39" s="160">
        <f>$B$34*C39</f>
        <v>84088.515000000029</v>
      </c>
      <c r="C39" s="87">
        <f>C38+$D$23/5</f>
        <v>1.5000000000000004</v>
      </c>
      <c r="D39" s="159">
        <v>2.1502152083973463</v>
      </c>
      <c r="E39" s="159">
        <v>2.1502152083973463</v>
      </c>
      <c r="F39" s="159">
        <v>2.1502152083973463</v>
      </c>
      <c r="G39" s="159">
        <v>2.1502152083973463</v>
      </c>
      <c r="H39" s="159">
        <v>2.1502152083973463</v>
      </c>
      <c r="I39" s="159">
        <v>2.1502152083973463</v>
      </c>
      <c r="J39" s="159">
        <v>2.1502152083973463</v>
      </c>
      <c r="K39" s="159">
        <v>2.1502152083973463</v>
      </c>
      <c r="L39" s="159">
        <v>2.1502152083973463</v>
      </c>
      <c r="M39" s="159">
        <v>2.1502152083973463</v>
      </c>
      <c r="N39" s="159">
        <v>2.1502152083973463</v>
      </c>
      <c r="P39" s="87" t="s">
        <v>22</v>
      </c>
      <c r="R39" s="87">
        <f>IF(P39=$D$26,$R$33,IF(P39=$A$29,$R$34,1))</f>
        <v>1</v>
      </c>
    </row>
    <row r="40" spans="1:18">
      <c r="A40" s="172"/>
      <c r="B40" s="180"/>
      <c r="D40" s="159"/>
      <c r="E40" s="159"/>
      <c r="F40" s="159"/>
      <c r="G40" s="159"/>
      <c r="H40" s="159"/>
      <c r="I40" s="159"/>
      <c r="J40" s="159"/>
      <c r="K40" s="159"/>
      <c r="L40" s="159"/>
      <c r="M40" s="159"/>
      <c r="N40" s="159"/>
      <c r="P40" s="87" t="s">
        <v>237</v>
      </c>
      <c r="R40" s="87">
        <f>IF(P40=$D$26,$R$33,IF(P40=$A$29,$R$34,1))</f>
        <v>1</v>
      </c>
    </row>
    <row r="41" spans="1:18">
      <c r="D41" s="214" t="s">
        <v>302</v>
      </c>
      <c r="E41" s="214"/>
      <c r="F41" s="214"/>
      <c r="G41" s="214"/>
      <c r="H41" s="214"/>
      <c r="I41" s="214"/>
      <c r="J41" s="214"/>
      <c r="K41" s="214"/>
      <c r="L41" s="214"/>
      <c r="M41" s="214"/>
      <c r="N41" s="214"/>
    </row>
    <row r="42" spans="1:18">
      <c r="A42" s="156"/>
      <c r="B42" s="156"/>
      <c r="D42" s="212" t="str">
        <f>D26</f>
        <v>Inflation</v>
      </c>
      <c r="E42" s="212"/>
      <c r="F42" s="212"/>
      <c r="G42" s="212"/>
      <c r="H42" s="212"/>
      <c r="I42" s="212"/>
      <c r="J42" s="212"/>
      <c r="K42" s="212"/>
      <c r="L42" s="212"/>
      <c r="M42" s="212"/>
      <c r="N42" s="212"/>
    </row>
    <row r="43" spans="1:18">
      <c r="A43" s="156"/>
      <c r="B43" s="156"/>
      <c r="C43" s="157"/>
      <c r="D43" s="162">
        <f>$I$27*D44</f>
        <v>1.2500000000000004E-2</v>
      </c>
      <c r="E43" s="162">
        <f>$I$27*E44</f>
        <v>1.5000000000000003E-2</v>
      </c>
      <c r="F43" s="162">
        <f>$I$27*F44</f>
        <v>1.7500000000000002E-2</v>
      </c>
      <c r="G43" s="162">
        <f>$I$27*G44</f>
        <v>2.0000000000000004E-2</v>
      </c>
      <c r="H43" s="162">
        <f>$I$27*H44</f>
        <v>2.2500000000000003E-2</v>
      </c>
      <c r="I43" s="163">
        <f>VLOOKUP(D26,P21:R26,3,FALSE)</f>
        <v>2.5000000000000001E-2</v>
      </c>
      <c r="J43" s="162">
        <f>$I$27*J44</f>
        <v>2.7500000000000004E-2</v>
      </c>
      <c r="K43" s="162">
        <f>$I$27*K44</f>
        <v>3.0000000000000006E-2</v>
      </c>
      <c r="L43" s="162">
        <f>$I$27*L44</f>
        <v>3.2500000000000008E-2</v>
      </c>
      <c r="M43" s="162">
        <f>$I$27*M44</f>
        <v>3.500000000000001E-2</v>
      </c>
      <c r="N43" s="162">
        <f>$I$27*N44</f>
        <v>3.7500000000000012E-2</v>
      </c>
    </row>
    <row r="44" spans="1:18" hidden="1">
      <c r="A44" s="156"/>
      <c r="B44" s="158"/>
      <c r="C44" s="181">
        <f ca="1">H5</f>
        <v>684977900</v>
      </c>
      <c r="D44" s="87">
        <f>E44-$D$22/5</f>
        <v>0.50000000000000011</v>
      </c>
      <c r="E44" s="87">
        <f>F44-$D$22/5</f>
        <v>0.60000000000000009</v>
      </c>
      <c r="F44" s="87">
        <f>G44-$D$22/5</f>
        <v>0.70000000000000007</v>
      </c>
      <c r="G44" s="87">
        <f>H44-$D$22/5</f>
        <v>0.8</v>
      </c>
      <c r="H44" s="87">
        <f>I44-$D$22/5</f>
        <v>0.9</v>
      </c>
      <c r="I44" s="87">
        <v>1</v>
      </c>
      <c r="J44" s="87">
        <f>I44+$D$22/5</f>
        <v>1.1000000000000001</v>
      </c>
      <c r="K44" s="87">
        <f>J44+$D$22/5</f>
        <v>1.2000000000000002</v>
      </c>
      <c r="L44" s="87">
        <f>K44+$D$22/5</f>
        <v>1.3000000000000003</v>
      </c>
      <c r="M44" s="87">
        <f>L44+$D$22/5</f>
        <v>1.4000000000000004</v>
      </c>
      <c r="N44" s="87">
        <f>M44+$D$22/5</f>
        <v>1.5000000000000004</v>
      </c>
    </row>
    <row r="45" spans="1:18">
      <c r="A45" s="213" t="str">
        <f>A29</f>
        <v>Product Price</v>
      </c>
      <c r="B45" s="160">
        <f>$B$34*C45</f>
        <v>28029.505000000008</v>
      </c>
      <c r="C45" s="87">
        <f>C46-$D$23/5</f>
        <v>0.50000000000000011</v>
      </c>
      <c r="D45" s="182">
        <f t="dataTable" ref="D45:N55" dt2D="1" dtr="1" r1="R33" r2="R34" ca="1"/>
        <v>173303900</v>
      </c>
      <c r="E45" s="182">
        <v>173303900</v>
      </c>
      <c r="F45" s="182">
        <v>173303900</v>
      </c>
      <c r="G45" s="182">
        <v>173303900</v>
      </c>
      <c r="H45" s="182">
        <v>173303900</v>
      </c>
      <c r="I45" s="182">
        <v>173303900</v>
      </c>
      <c r="J45" s="182">
        <v>173303900</v>
      </c>
      <c r="K45" s="182">
        <v>173303900</v>
      </c>
      <c r="L45" s="182">
        <v>173303900</v>
      </c>
      <c r="M45" s="182">
        <v>173303900</v>
      </c>
      <c r="N45" s="182">
        <v>173303900</v>
      </c>
    </row>
    <row r="46" spans="1:18">
      <c r="A46" s="213"/>
      <c r="B46" s="160">
        <f>$B$34*C46</f>
        <v>33635.406000000003</v>
      </c>
      <c r="C46" s="87">
        <f>C47-$D$23/5</f>
        <v>0.60000000000000009</v>
      </c>
      <c r="D46" s="182">
        <v>275638700</v>
      </c>
      <c r="E46" s="182">
        <v>275638700</v>
      </c>
      <c r="F46" s="182">
        <v>275638700</v>
      </c>
      <c r="G46" s="182">
        <v>275638700</v>
      </c>
      <c r="H46" s="182">
        <v>275638700</v>
      </c>
      <c r="I46" s="182">
        <v>275638700</v>
      </c>
      <c r="J46" s="182">
        <v>275638700</v>
      </c>
      <c r="K46" s="182">
        <v>275638700</v>
      </c>
      <c r="L46" s="182">
        <v>275638700</v>
      </c>
      <c r="M46" s="182">
        <v>275638700</v>
      </c>
      <c r="N46" s="182">
        <v>275638700</v>
      </c>
    </row>
    <row r="47" spans="1:18">
      <c r="A47" s="213"/>
      <c r="B47" s="160">
        <f>$B$34*C47</f>
        <v>39241.307000000008</v>
      </c>
      <c r="C47" s="87">
        <f>C48-$D$23/5</f>
        <v>0.70000000000000007</v>
      </c>
      <c r="D47" s="182">
        <v>377973500</v>
      </c>
      <c r="E47" s="182">
        <v>377973500</v>
      </c>
      <c r="F47" s="182">
        <v>377973500</v>
      </c>
      <c r="G47" s="182">
        <v>377973500</v>
      </c>
      <c r="H47" s="182">
        <v>377973500</v>
      </c>
      <c r="I47" s="182">
        <v>377973500</v>
      </c>
      <c r="J47" s="182">
        <v>377973500</v>
      </c>
      <c r="K47" s="182">
        <v>377973500</v>
      </c>
      <c r="L47" s="182">
        <v>377973500</v>
      </c>
      <c r="M47" s="182">
        <v>377973500</v>
      </c>
      <c r="N47" s="182">
        <v>377973500</v>
      </c>
    </row>
    <row r="48" spans="1:18">
      <c r="A48" s="213"/>
      <c r="B48" s="160">
        <f>$B$34*C48</f>
        <v>44847.208000000006</v>
      </c>
      <c r="C48" s="87">
        <f>C49-$D$23/5</f>
        <v>0.8</v>
      </c>
      <c r="D48" s="182">
        <v>480308300</v>
      </c>
      <c r="E48" s="182">
        <v>480308300</v>
      </c>
      <c r="F48" s="182">
        <v>480308300</v>
      </c>
      <c r="G48" s="182">
        <v>480308300</v>
      </c>
      <c r="H48" s="182">
        <v>480308300</v>
      </c>
      <c r="I48" s="182">
        <v>480308300</v>
      </c>
      <c r="J48" s="182">
        <v>480308300</v>
      </c>
      <c r="K48" s="182">
        <v>480308300</v>
      </c>
      <c r="L48" s="182">
        <v>480308300</v>
      </c>
      <c r="M48" s="182">
        <v>480308300</v>
      </c>
      <c r="N48" s="182">
        <v>480308300</v>
      </c>
    </row>
    <row r="49" spans="1:14">
      <c r="A49" s="213"/>
      <c r="B49" s="160">
        <f>$B$34*C49</f>
        <v>50453.109000000004</v>
      </c>
      <c r="C49" s="87">
        <f>C50-$D$23/5</f>
        <v>0.9</v>
      </c>
      <c r="D49" s="182">
        <v>582643100</v>
      </c>
      <c r="E49" s="182">
        <v>582643100</v>
      </c>
      <c r="F49" s="182">
        <v>582643100</v>
      </c>
      <c r="G49" s="182">
        <v>582643100</v>
      </c>
      <c r="H49" s="182">
        <v>582643100</v>
      </c>
      <c r="I49" s="182">
        <v>582643100</v>
      </c>
      <c r="J49" s="182">
        <v>582643100</v>
      </c>
      <c r="K49" s="182">
        <v>582643100</v>
      </c>
      <c r="L49" s="182">
        <v>582643100</v>
      </c>
      <c r="M49" s="182">
        <v>582643100</v>
      </c>
      <c r="N49" s="182">
        <v>582643100</v>
      </c>
    </row>
    <row r="50" spans="1:14">
      <c r="A50" s="213"/>
      <c r="B50" s="161">
        <f>VLOOKUP(A29,P21:R26,3,FALSE)</f>
        <v>56059.01</v>
      </c>
      <c r="C50" s="87">
        <v>1</v>
      </c>
      <c r="D50" s="182">
        <v>684977900</v>
      </c>
      <c r="E50" s="182">
        <v>684977900</v>
      </c>
      <c r="F50" s="182">
        <v>684977900</v>
      </c>
      <c r="G50" s="182">
        <v>684977900</v>
      </c>
      <c r="H50" s="182">
        <v>684977900</v>
      </c>
      <c r="I50" s="184">
        <v>684977900</v>
      </c>
      <c r="J50" s="182">
        <v>684977900</v>
      </c>
      <c r="K50" s="182">
        <v>684977900</v>
      </c>
      <c r="L50" s="182">
        <v>684977900</v>
      </c>
      <c r="M50" s="182">
        <v>684977900</v>
      </c>
      <c r="N50" s="182">
        <v>684977900</v>
      </c>
    </row>
    <row r="51" spans="1:14">
      <c r="A51" s="213"/>
      <c r="B51" s="160">
        <f>$B$34*C51</f>
        <v>61664.911000000007</v>
      </c>
      <c r="C51" s="87">
        <f>C50+$D$23/5</f>
        <v>1.1000000000000001</v>
      </c>
      <c r="D51" s="182">
        <v>787312700</v>
      </c>
      <c r="E51" s="182">
        <v>787312700</v>
      </c>
      <c r="F51" s="182">
        <v>787312700</v>
      </c>
      <c r="G51" s="182">
        <v>787312700</v>
      </c>
      <c r="H51" s="182">
        <v>787312700</v>
      </c>
      <c r="I51" s="182">
        <v>787312700</v>
      </c>
      <c r="J51" s="182">
        <v>787312700</v>
      </c>
      <c r="K51" s="182">
        <v>787312700</v>
      </c>
      <c r="L51" s="182">
        <v>787312700</v>
      </c>
      <c r="M51" s="182">
        <v>787312700</v>
      </c>
      <c r="N51" s="182">
        <v>787312700</v>
      </c>
    </row>
    <row r="52" spans="1:14">
      <c r="A52" s="213"/>
      <c r="B52" s="160">
        <f>$B$34*C52</f>
        <v>67270.812000000005</v>
      </c>
      <c r="C52" s="87">
        <f>C51+$D$23/5</f>
        <v>1.2000000000000002</v>
      </c>
      <c r="D52" s="182">
        <v>889647500</v>
      </c>
      <c r="E52" s="182">
        <v>889647500</v>
      </c>
      <c r="F52" s="182">
        <v>889647500</v>
      </c>
      <c r="G52" s="182">
        <v>889647500</v>
      </c>
      <c r="H52" s="182">
        <v>889647500</v>
      </c>
      <c r="I52" s="182">
        <v>889647500</v>
      </c>
      <c r="J52" s="182">
        <v>889647500</v>
      </c>
      <c r="K52" s="182">
        <v>889647500</v>
      </c>
      <c r="L52" s="182">
        <v>889647500</v>
      </c>
      <c r="M52" s="182">
        <v>889647500</v>
      </c>
      <c r="N52" s="182">
        <v>889647500</v>
      </c>
    </row>
    <row r="53" spans="1:14">
      <c r="A53" s="213"/>
      <c r="B53" s="160">
        <f>$B$34*C53</f>
        <v>72876.713000000018</v>
      </c>
      <c r="C53" s="87">
        <f>C52+$D$23/5</f>
        <v>1.3000000000000003</v>
      </c>
      <c r="D53" s="182">
        <v>991982300</v>
      </c>
      <c r="E53" s="182">
        <v>991982300</v>
      </c>
      <c r="F53" s="182">
        <v>991982300</v>
      </c>
      <c r="G53" s="182">
        <v>991982300</v>
      </c>
      <c r="H53" s="182">
        <v>991982300</v>
      </c>
      <c r="I53" s="182">
        <v>991982300</v>
      </c>
      <c r="J53" s="182">
        <v>991982300</v>
      </c>
      <c r="K53" s="182">
        <v>991982300</v>
      </c>
      <c r="L53" s="182">
        <v>991982300</v>
      </c>
      <c r="M53" s="182">
        <v>991982300</v>
      </c>
      <c r="N53" s="182">
        <v>991982300</v>
      </c>
    </row>
    <row r="54" spans="1:14">
      <c r="A54" s="213"/>
      <c r="B54" s="160">
        <f>$B$34*C54</f>
        <v>78482.614000000016</v>
      </c>
      <c r="C54" s="87">
        <f>C53+$D$23/5</f>
        <v>1.4000000000000004</v>
      </c>
      <c r="D54" s="182">
        <v>1094317100</v>
      </c>
      <c r="E54" s="182">
        <v>1094317100</v>
      </c>
      <c r="F54" s="182">
        <v>1094317100</v>
      </c>
      <c r="G54" s="182">
        <v>1094317100</v>
      </c>
      <c r="H54" s="182">
        <v>1094317100</v>
      </c>
      <c r="I54" s="182">
        <v>1094317100</v>
      </c>
      <c r="J54" s="182">
        <v>1094317100</v>
      </c>
      <c r="K54" s="182">
        <v>1094317100</v>
      </c>
      <c r="L54" s="182">
        <v>1094317100</v>
      </c>
      <c r="M54" s="182">
        <v>1094317100</v>
      </c>
      <c r="N54" s="182">
        <v>1094317100</v>
      </c>
    </row>
    <row r="55" spans="1:14">
      <c r="A55" s="213"/>
      <c r="B55" s="160">
        <f>$B$34*C55</f>
        <v>84088.515000000029</v>
      </c>
      <c r="C55" s="87">
        <f>C54+$D$23/5</f>
        <v>1.5000000000000004</v>
      </c>
      <c r="D55" s="182">
        <v>1196651900</v>
      </c>
      <c r="E55" s="182">
        <v>1196651900</v>
      </c>
      <c r="F55" s="182">
        <v>1196651900</v>
      </c>
      <c r="G55" s="182">
        <v>1196651900</v>
      </c>
      <c r="H55" s="182">
        <v>1196651900</v>
      </c>
      <c r="I55" s="182">
        <v>1196651900</v>
      </c>
      <c r="J55" s="182">
        <v>1196651900</v>
      </c>
      <c r="K55" s="182">
        <v>1196651900</v>
      </c>
      <c r="L55" s="182">
        <v>1196651900</v>
      </c>
      <c r="M55" s="182">
        <v>1196651900</v>
      </c>
      <c r="N55" s="182">
        <v>1196651900</v>
      </c>
    </row>
    <row r="56" spans="1:14">
      <c r="A56" s="172"/>
      <c r="B56" s="180"/>
      <c r="D56" s="159"/>
      <c r="E56" s="159"/>
      <c r="F56" s="159"/>
      <c r="G56" s="159"/>
      <c r="H56" s="159"/>
      <c r="I56" s="159"/>
      <c r="J56" s="159"/>
      <c r="K56" s="159"/>
      <c r="L56" s="159"/>
      <c r="M56" s="159"/>
      <c r="N56" s="159"/>
    </row>
    <row r="57" spans="1:14">
      <c r="A57" s="87" t="s">
        <v>308</v>
      </c>
    </row>
  </sheetData>
  <sheetProtection algorithmName="SHA-512" hashValue="BMMpiqAdJA92jqKVuBL1WnKPnwrNkCL66TGQVtzWV5KkP6y5f27bjMuPmUCjg+tjElLqV/V24CTkUNYk3WieJA==" saltValue="EpHrNGm5DGFMW3jWTm5E4w==" spinCount="100000" sheet="1" objects="1" scenarios="1"/>
  <mergeCells count="9">
    <mergeCell ref="D21:E21"/>
    <mergeCell ref="D22:E22"/>
    <mergeCell ref="D23:E23"/>
    <mergeCell ref="D42:N42"/>
    <mergeCell ref="A45:A55"/>
    <mergeCell ref="D25:N25"/>
    <mergeCell ref="D41:N41"/>
    <mergeCell ref="D26:N26"/>
    <mergeCell ref="A29:A39"/>
  </mergeCells>
  <dataValidations count="1">
    <dataValidation type="list" allowBlank="1" showInputMessage="1" showErrorMessage="1" sqref="D26:N26 A29:A40 D42:N42 A45:A56" xr:uid="{00000000-0002-0000-0400-000000000000}">
      <formula1>$P$21:$P$26</formula1>
    </dataValidation>
  </dataValidations>
  <pageMargins left="0.7" right="0.7" top="0.75" bottom="0.75" header="0.3" footer="0.3"/>
  <pageSetup scale="78" orientation="landscape" r:id="rId1"/>
  <headerFooter>
    <oddHeader>&amp;C&amp;"Calibri"&amp;10&amp;K000000 Public&amp;1#_x000D_</oddHeader>
    <oddFooter>&amp;C_x000D_&amp;1#&amp;"Calibri"&amp;10&amp;K000000 Public</oddFooter>
  </headerFooter>
  <colBreaks count="1" manualBreakCount="1">
    <brk id="14" max="1048575" man="1"/>
  </colBreaks>
  <ignoredErrors>
    <ignoredError sqref="B29:B33 B35:B37 D27:H27 J27:N27 B39" unlockedFormula="1"/>
    <ignoredError sqref="B34 I27" formula="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B050"/>
  </sheetPr>
  <dimension ref="A1:Z32"/>
  <sheetViews>
    <sheetView topLeftCell="H1" zoomScaleNormal="100" workbookViewId="0">
      <selection activeCell="P7" sqref="P7"/>
    </sheetView>
  </sheetViews>
  <sheetFormatPr defaultColWidth="9.140625" defaultRowHeight="16.5"/>
  <cols>
    <col min="1" max="1" width="6.28515625" style="44" customWidth="1"/>
    <col min="2" max="3" width="9.140625" style="44"/>
    <col min="4" max="14" width="14.7109375" style="44" customWidth="1"/>
    <col min="15" max="16384" width="9.140625" style="44"/>
  </cols>
  <sheetData>
    <row r="1" spans="1:26" s="43" customFormat="1" ht="20.25">
      <c r="A1" s="42" t="s">
        <v>214</v>
      </c>
      <c r="B1" s="42"/>
      <c r="C1" s="42"/>
      <c r="D1" s="42"/>
      <c r="E1" s="42"/>
      <c r="F1" s="42"/>
      <c r="G1" s="42"/>
      <c r="H1" s="42"/>
      <c r="I1" s="42"/>
      <c r="J1" s="42"/>
      <c r="K1" s="42"/>
      <c r="L1" s="42"/>
      <c r="M1" s="42"/>
      <c r="N1" s="42"/>
    </row>
    <row r="2" spans="1:26" s="43" customFormat="1" ht="20.25"/>
    <row r="3" spans="1:26" s="10" customFormat="1" ht="12.75"/>
    <row r="4" spans="1:26" s="10" customFormat="1" ht="12.75">
      <c r="C4" s="47"/>
      <c r="D4" s="48">
        <f ca="1">'Cost Summary'!$G$22*Sensitivity!P4</f>
        <v>31191933.492517639</v>
      </c>
      <c r="E4" s="48">
        <f ca="1">'Cost Summary'!$G$22*Sensitivity!Q4</f>
        <v>37430320.191021167</v>
      </c>
      <c r="F4" s="48">
        <f ca="1">'Cost Summary'!$G$22*Sensitivity!R4</f>
        <v>43668706.889524691</v>
      </c>
      <c r="G4" s="48">
        <f ca="1">'Cost Summary'!$G$22*Sensitivity!S4</f>
        <v>49907093.588028222</v>
      </c>
      <c r="H4" s="48">
        <f ca="1">'Cost Summary'!$G$22*Sensitivity!T4</f>
        <v>56145480.286531754</v>
      </c>
      <c r="I4" s="48">
        <f ca="1">'Cost Summary'!$G$22*Sensitivity!U4</f>
        <v>62383866.985035278</v>
      </c>
      <c r="J4" s="48">
        <f ca="1">'Cost Summary'!$G$22*Sensitivity!V4</f>
        <v>68622253.683538809</v>
      </c>
      <c r="K4" s="48">
        <f ca="1">'Cost Summary'!$G$22*Sensitivity!W4</f>
        <v>74860640.382042333</v>
      </c>
      <c r="L4" s="48">
        <f ca="1">'Cost Summary'!$G$22*Sensitivity!X4</f>
        <v>81099027.080545858</v>
      </c>
      <c r="M4" s="48">
        <f ca="1">'Cost Summary'!$G$22*Sensitivity!Y4</f>
        <v>87337413.779049382</v>
      </c>
      <c r="N4" s="48">
        <f ca="1">'Cost Summary'!$G$22*Sensitivity!Z4</f>
        <v>93575800.477552921</v>
      </c>
      <c r="P4" s="10">
        <v>0.5</v>
      </c>
      <c r="Q4" s="10">
        <v>0.6</v>
      </c>
      <c r="R4" s="10">
        <v>0.7</v>
      </c>
      <c r="S4" s="10">
        <v>0.8</v>
      </c>
      <c r="T4" s="10">
        <v>0.9</v>
      </c>
      <c r="U4" s="10">
        <v>1</v>
      </c>
      <c r="V4" s="10">
        <v>1.1000000000000001</v>
      </c>
      <c r="W4" s="10">
        <v>1.2</v>
      </c>
      <c r="X4" s="10">
        <v>1.3</v>
      </c>
      <c r="Y4" s="10">
        <v>1.4</v>
      </c>
      <c r="Z4" s="10">
        <v>1.5</v>
      </c>
    </row>
    <row r="5" spans="1:26" s="10" customFormat="1" ht="12.75">
      <c r="B5" s="47"/>
      <c r="C5" s="47">
        <f ca="1">'Profitability Measures'!H3</f>
        <v>1.4771544264257419</v>
      </c>
      <c r="D5" s="48">
        <f ca="1">D4</f>
        <v>31191933.492517639</v>
      </c>
      <c r="E5" s="48">
        <f t="shared" ref="E5:N5" ca="1" si="0">E4</f>
        <v>37430320.191021167</v>
      </c>
      <c r="F5" s="48">
        <f t="shared" ca="1" si="0"/>
        <v>43668706.889524691</v>
      </c>
      <c r="G5" s="48">
        <f t="shared" ca="1" si="0"/>
        <v>49907093.588028222</v>
      </c>
      <c r="H5" s="48">
        <f t="shared" ca="1" si="0"/>
        <v>56145480.286531754</v>
      </c>
      <c r="I5" s="48">
        <f t="shared" ca="1" si="0"/>
        <v>62383866.985035278</v>
      </c>
      <c r="J5" s="48">
        <f t="shared" ca="1" si="0"/>
        <v>68622253.683538809</v>
      </c>
      <c r="K5" s="48">
        <f t="shared" ca="1" si="0"/>
        <v>74860640.382042333</v>
      </c>
      <c r="L5" s="48">
        <f t="shared" ca="1" si="0"/>
        <v>81099027.080545858</v>
      </c>
      <c r="M5" s="48">
        <f t="shared" ca="1" si="0"/>
        <v>87337413.779049382</v>
      </c>
      <c r="N5" s="48">
        <f t="shared" ca="1" si="0"/>
        <v>93575800.477552921</v>
      </c>
    </row>
    <row r="6" spans="1:26" s="10" customFormat="1" ht="15" customHeight="1">
      <c r="A6" s="217" t="s">
        <v>215</v>
      </c>
      <c r="B6" s="46">
        <f>B11*0.5</f>
        <v>28029.505000000001</v>
      </c>
      <c r="C6" s="46">
        <f>B6</f>
        <v>28029.505000000001</v>
      </c>
      <c r="O6" s="10">
        <v>0.5</v>
      </c>
      <c r="P6" s="10" t="s">
        <v>216</v>
      </c>
    </row>
    <row r="7" spans="1:26" s="10" customFormat="1" ht="12.75">
      <c r="A7" s="217"/>
      <c r="B7" s="46">
        <f>B11*0.6</f>
        <v>33635.406000000003</v>
      </c>
      <c r="C7" s="46">
        <f t="shared" ref="C7:C16" si="1">B7</f>
        <v>33635.406000000003</v>
      </c>
      <c r="O7" s="10">
        <v>0.6</v>
      </c>
    </row>
    <row r="8" spans="1:26" s="10" customFormat="1" ht="12.75">
      <c r="A8" s="217"/>
      <c r="B8" s="46">
        <f>B11*0.7</f>
        <v>39241.307000000001</v>
      </c>
      <c r="C8" s="46">
        <f t="shared" si="1"/>
        <v>39241.307000000001</v>
      </c>
      <c r="O8" s="10">
        <v>0.7</v>
      </c>
    </row>
    <row r="9" spans="1:26" s="10" customFormat="1" ht="12.75">
      <c r="A9" s="217"/>
      <c r="B9" s="46">
        <f>B11*0.8</f>
        <v>44847.208000000006</v>
      </c>
      <c r="C9" s="46">
        <f t="shared" si="1"/>
        <v>44847.208000000006</v>
      </c>
      <c r="O9" s="10">
        <v>0.8</v>
      </c>
    </row>
    <row r="10" spans="1:26" s="10" customFormat="1" ht="12.75">
      <c r="A10" s="217"/>
      <c r="B10" s="46">
        <f>B11*0.9</f>
        <v>50453.109000000004</v>
      </c>
      <c r="C10" s="46">
        <f t="shared" si="1"/>
        <v>50453.109000000004</v>
      </c>
      <c r="O10" s="10">
        <v>0.9</v>
      </c>
    </row>
    <row r="11" spans="1:26" s="10" customFormat="1" ht="12.75">
      <c r="A11" s="217"/>
      <c r="B11" s="45">
        <f>'General Input'!D48</f>
        <v>56059.01</v>
      </c>
      <c r="C11" s="46">
        <f t="shared" si="1"/>
        <v>56059.01</v>
      </c>
      <c r="O11" s="10">
        <v>1</v>
      </c>
    </row>
    <row r="12" spans="1:26" s="10" customFormat="1" ht="12.75">
      <c r="A12" s="217"/>
      <c r="B12" s="46">
        <f>$B$11*O12</f>
        <v>61664.911000000007</v>
      </c>
      <c r="C12" s="46">
        <f t="shared" si="1"/>
        <v>61664.911000000007</v>
      </c>
      <c r="O12" s="10">
        <v>1.1000000000000001</v>
      </c>
    </row>
    <row r="13" spans="1:26" s="10" customFormat="1" ht="12.75">
      <c r="A13" s="217"/>
      <c r="B13" s="46">
        <f>$B$11*O13</f>
        <v>67270.812000000005</v>
      </c>
      <c r="C13" s="46">
        <f t="shared" si="1"/>
        <v>67270.812000000005</v>
      </c>
      <c r="O13" s="10">
        <v>1.2</v>
      </c>
    </row>
    <row r="14" spans="1:26" s="10" customFormat="1" ht="12.75">
      <c r="A14" s="217"/>
      <c r="B14" s="46">
        <f>$B$11*O14</f>
        <v>72876.713000000003</v>
      </c>
      <c r="C14" s="46">
        <f t="shared" si="1"/>
        <v>72876.713000000003</v>
      </c>
      <c r="O14" s="10">
        <v>1.3</v>
      </c>
    </row>
    <row r="15" spans="1:26" s="10" customFormat="1" ht="12.75">
      <c r="A15" s="217"/>
      <c r="B15" s="46">
        <f>$B$11*O15</f>
        <v>78482.614000000001</v>
      </c>
      <c r="C15" s="46">
        <f t="shared" si="1"/>
        <v>78482.614000000001</v>
      </c>
      <c r="O15" s="10">
        <v>1.4</v>
      </c>
    </row>
    <row r="16" spans="1:26" s="10" customFormat="1" ht="12.75">
      <c r="A16" s="217"/>
      <c r="B16" s="46">
        <f>$B$11*O16</f>
        <v>84088.514999999999</v>
      </c>
      <c r="C16" s="46">
        <f t="shared" si="1"/>
        <v>84088.514999999999</v>
      </c>
      <c r="O16" s="10">
        <v>1.5</v>
      </c>
    </row>
    <row r="17" spans="3:14" s="10" customFormat="1" ht="12.75"/>
    <row r="18" spans="3:14" s="10" customFormat="1" ht="12.75"/>
    <row r="19" spans="3:14" s="10" customFormat="1" ht="12.75">
      <c r="C19" s="15">
        <f ca="1">C5</f>
        <v>1.4771544264257419</v>
      </c>
      <c r="D19" s="10">
        <v>86.625</v>
      </c>
      <c r="E19" s="10">
        <v>103.95</v>
      </c>
      <c r="F19" s="10">
        <v>121.27499999999999</v>
      </c>
      <c r="G19" s="10">
        <v>138.6</v>
      </c>
      <c r="H19" s="10">
        <v>155.92500000000001</v>
      </c>
      <c r="I19" s="10">
        <v>173.25</v>
      </c>
      <c r="J19" s="10">
        <v>190.57500000000002</v>
      </c>
      <c r="K19" s="10">
        <v>207.9</v>
      </c>
      <c r="L19" s="10">
        <v>225.22499999999999</v>
      </c>
      <c r="M19" s="10">
        <v>242.54999999999998</v>
      </c>
      <c r="N19" s="10">
        <v>259.875</v>
      </c>
    </row>
    <row r="20" spans="3:14" s="10" customFormat="1" ht="12.75">
      <c r="C20" s="10">
        <v>2.5</v>
      </c>
    </row>
    <row r="21" spans="3:14" s="10" customFormat="1" ht="12.75">
      <c r="C21" s="10">
        <v>3</v>
      </c>
    </row>
    <row r="22" spans="3:14" s="10" customFormat="1" ht="12.75">
      <c r="C22" s="10">
        <v>3.5</v>
      </c>
    </row>
    <row r="23" spans="3:14" s="10" customFormat="1" ht="12.75">
      <c r="C23" s="10">
        <v>4</v>
      </c>
    </row>
    <row r="24" spans="3:14" s="10" customFormat="1" ht="12.75">
      <c r="C24" s="10">
        <v>4.5</v>
      </c>
    </row>
    <row r="25" spans="3:14" s="10" customFormat="1" ht="12.75">
      <c r="C25" s="10">
        <v>5</v>
      </c>
    </row>
    <row r="26" spans="3:14" s="10" customFormat="1" ht="12.75">
      <c r="C26" s="10">
        <v>5.5</v>
      </c>
    </row>
    <row r="27" spans="3:14" s="10" customFormat="1" ht="12.75">
      <c r="C27" s="10">
        <v>6</v>
      </c>
    </row>
    <row r="28" spans="3:14" s="10" customFormat="1" ht="12.75">
      <c r="C28" s="10">
        <v>6.5</v>
      </c>
    </row>
    <row r="29" spans="3:14" s="10" customFormat="1" ht="12.75">
      <c r="C29" s="10">
        <v>7</v>
      </c>
    </row>
    <row r="30" spans="3:14" s="10" customFormat="1" ht="12.75">
      <c r="C30" s="10">
        <v>7.5</v>
      </c>
    </row>
    <row r="31" spans="3:14" s="10" customFormat="1" ht="12.75"/>
    <row r="32" spans="3:14" s="10" customFormat="1" ht="12.75"/>
  </sheetData>
  <mergeCells count="1">
    <mergeCell ref="A6:A16"/>
  </mergeCells>
  <pageMargins left="0.7" right="0.7" top="0.75" bottom="0.75" header="0.3" footer="0.3"/>
  <pageSetup scale="69" orientation="landscape"/>
  <headerFooter>
    <oddHeader>&amp;C&amp;"Calibri"&amp;10&amp;K000000 Public&amp;1#_x000D_</oddHeader>
    <oddFooter>&amp;C_x000D_&amp;1#&amp;"Calibri"&amp;10&amp;K000000 Public</oddFooter>
  </headerFooter>
  <colBreaks count="1" manualBreakCount="1">
    <brk id="1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2:N104"/>
  <sheetViews>
    <sheetView topLeftCell="A50" workbookViewId="0">
      <selection activeCell="E66" sqref="E66"/>
    </sheetView>
  </sheetViews>
  <sheetFormatPr defaultColWidth="9.140625" defaultRowHeight="12.75"/>
  <cols>
    <col min="1" max="1" width="3.85546875" style="49" customWidth="1"/>
    <col min="2" max="2" width="16.42578125" style="49" customWidth="1"/>
    <col min="3" max="3" width="11.140625" style="49" customWidth="1"/>
    <col min="4" max="4" width="12.7109375" style="49" customWidth="1"/>
    <col min="5" max="5" width="25.42578125" style="49" customWidth="1"/>
    <col min="6" max="6" width="11.85546875" style="49" bestFit="1" customWidth="1"/>
    <col min="7" max="16384" width="9.140625" style="49"/>
  </cols>
  <sheetData>
    <row r="2" spans="1:5">
      <c r="C2" s="50" t="s">
        <v>10</v>
      </c>
      <c r="D2" s="51" t="s">
        <v>359</v>
      </c>
    </row>
    <row r="3" spans="1:5">
      <c r="C3" s="50" t="s">
        <v>12</v>
      </c>
      <c r="D3" s="51" t="s">
        <v>367</v>
      </c>
    </row>
    <row r="4" spans="1:5">
      <c r="C4" s="50" t="s">
        <v>11</v>
      </c>
      <c r="D4" s="51" t="s">
        <v>360</v>
      </c>
    </row>
    <row r="6" spans="1:5">
      <c r="A6" s="52" t="s">
        <v>155</v>
      </c>
    </row>
    <row r="7" spans="1:5">
      <c r="A7" s="49" t="s">
        <v>78</v>
      </c>
      <c r="D7" s="49">
        <v>1</v>
      </c>
      <c r="E7" s="49" t="s">
        <v>154</v>
      </c>
    </row>
    <row r="8" spans="1:5">
      <c r="A8" s="49" t="s">
        <v>79</v>
      </c>
      <c r="D8" s="49">
        <v>1</v>
      </c>
      <c r="E8" s="49" t="s">
        <v>154</v>
      </c>
    </row>
    <row r="9" spans="1:5">
      <c r="A9" s="49" t="s">
        <v>80</v>
      </c>
      <c r="D9" s="49">
        <v>20</v>
      </c>
    </row>
    <row r="10" spans="1:5">
      <c r="A10" s="49" t="s">
        <v>81</v>
      </c>
      <c r="D10" s="10">
        <f>SUM(D7:D9)</f>
        <v>22</v>
      </c>
      <c r="E10" s="49" t="s">
        <v>287</v>
      </c>
    </row>
    <row r="11" spans="1:5">
      <c r="A11" s="49" t="s">
        <v>77</v>
      </c>
      <c r="D11" s="49">
        <v>2024</v>
      </c>
    </row>
    <row r="12" spans="1:5">
      <c r="A12" s="49" t="s">
        <v>69</v>
      </c>
      <c r="D12" s="53">
        <v>1</v>
      </c>
    </row>
    <row r="14" spans="1:5">
      <c r="A14" s="52" t="s">
        <v>76</v>
      </c>
    </row>
    <row r="15" spans="1:5">
      <c r="A15" s="49" t="s">
        <v>72</v>
      </c>
      <c r="D15" s="49">
        <v>330</v>
      </c>
    </row>
    <row r="16" spans="1:5">
      <c r="A16" s="49" t="s">
        <v>70</v>
      </c>
    </row>
    <row r="17" spans="1:14">
      <c r="A17" s="49" t="s">
        <v>74</v>
      </c>
      <c r="D17" s="49">
        <v>0</v>
      </c>
    </row>
    <row r="18" spans="1:14">
      <c r="A18" s="49" t="s">
        <v>71</v>
      </c>
    </row>
    <row r="19" spans="1:14">
      <c r="A19" s="49" t="s">
        <v>75</v>
      </c>
      <c r="D19" s="54">
        <v>0.90400000000000003</v>
      </c>
      <c r="E19" s="49" t="s">
        <v>218</v>
      </c>
    </row>
    <row r="21" spans="1:14">
      <c r="A21" s="52" t="s">
        <v>176</v>
      </c>
      <c r="E21" s="49" t="s">
        <v>219</v>
      </c>
    </row>
    <row r="22" spans="1:14">
      <c r="A22" s="49" t="s">
        <v>73</v>
      </c>
      <c r="D22" s="49">
        <v>0</v>
      </c>
    </row>
    <row r="23" spans="1:14" ht="15.75">
      <c r="A23" s="49" t="s">
        <v>82</v>
      </c>
      <c r="J23" s="218" t="s">
        <v>156</v>
      </c>
      <c r="K23" s="218"/>
      <c r="L23" s="218"/>
      <c r="M23" s="218"/>
      <c r="N23" s="218"/>
    </row>
    <row r="24" spans="1:14">
      <c r="A24" s="49" t="s">
        <v>72</v>
      </c>
      <c r="D24" s="49">
        <v>0</v>
      </c>
      <c r="J24" s="55" t="s">
        <v>158</v>
      </c>
      <c r="K24" s="55" t="s">
        <v>159</v>
      </c>
      <c r="L24" s="55" t="s">
        <v>157</v>
      </c>
      <c r="M24" s="55" t="s">
        <v>160</v>
      </c>
      <c r="N24" s="55" t="s">
        <v>161</v>
      </c>
    </row>
    <row r="25" spans="1:14" hidden="1">
      <c r="D25" s="49">
        <f>D24*D22/(365*24)</f>
        <v>0</v>
      </c>
      <c r="J25" s="56">
        <v>2</v>
      </c>
      <c r="K25" s="56">
        <v>3</v>
      </c>
      <c r="L25" s="56">
        <v>4</v>
      </c>
      <c r="M25" s="56">
        <v>5</v>
      </c>
      <c r="N25" s="56">
        <v>6</v>
      </c>
    </row>
    <row r="26" spans="1:14">
      <c r="E26" s="10"/>
      <c r="I26" s="49">
        <v>1</v>
      </c>
      <c r="J26" s="57">
        <v>0.2</v>
      </c>
      <c r="K26" s="57">
        <v>0.1429</v>
      </c>
      <c r="L26" s="57">
        <v>0.1</v>
      </c>
      <c r="M26" s="57">
        <v>0.05</v>
      </c>
      <c r="N26" s="57">
        <v>3.7499999999999999E-2</v>
      </c>
    </row>
    <row r="27" spans="1:14">
      <c r="A27" s="49" t="s">
        <v>83</v>
      </c>
      <c r="D27" s="58">
        <v>1</v>
      </c>
      <c r="E27" s="10" t="s">
        <v>84</v>
      </c>
      <c r="I27" s="49">
        <v>2</v>
      </c>
      <c r="J27" s="57">
        <v>0.32</v>
      </c>
      <c r="K27" s="57">
        <v>0.24489999999999998</v>
      </c>
      <c r="L27" s="57">
        <v>0.18</v>
      </c>
      <c r="M27" s="57">
        <v>9.5000000000000001E-2</v>
      </c>
      <c r="N27" s="57">
        <v>7.2190000000000004E-2</v>
      </c>
    </row>
    <row r="28" spans="1:14">
      <c r="A28" s="49" t="s">
        <v>86</v>
      </c>
      <c r="D28" s="58">
        <v>0.5</v>
      </c>
      <c r="E28" s="10" t="s">
        <v>234</v>
      </c>
      <c r="I28" s="49">
        <v>3</v>
      </c>
      <c r="J28" s="57">
        <v>0.192</v>
      </c>
      <c r="K28" s="57">
        <v>0.17489999999999997</v>
      </c>
      <c r="L28" s="57">
        <v>0.14400000000000002</v>
      </c>
      <c r="M28" s="57">
        <v>8.5500000000000007E-2</v>
      </c>
      <c r="N28" s="57">
        <v>6.6769999999999996E-2</v>
      </c>
    </row>
    <row r="29" spans="1:14">
      <c r="A29" s="49" t="s">
        <v>87</v>
      </c>
      <c r="D29" s="49">
        <v>2</v>
      </c>
      <c r="E29" s="10"/>
      <c r="I29" s="49">
        <v>4</v>
      </c>
      <c r="J29" s="57">
        <v>0.1152</v>
      </c>
      <c r="K29" s="57">
        <v>0.1249</v>
      </c>
      <c r="L29" s="57">
        <v>0.1152</v>
      </c>
      <c r="M29" s="57">
        <v>7.6999999999999999E-2</v>
      </c>
      <c r="N29" s="57">
        <v>6.1769999999999999E-2</v>
      </c>
    </row>
    <row r="30" spans="1:14">
      <c r="I30" s="49">
        <v>5</v>
      </c>
      <c r="J30" s="57">
        <v>0.1152</v>
      </c>
      <c r="K30" s="57">
        <v>8.929999999999999E-2</v>
      </c>
      <c r="L30" s="57">
        <v>9.2200000000000004E-2</v>
      </c>
      <c r="M30" s="57">
        <v>6.93E-2</v>
      </c>
      <c r="N30" s="57">
        <v>5.713E-2</v>
      </c>
    </row>
    <row r="31" spans="1:14">
      <c r="A31" s="49" t="s">
        <v>85</v>
      </c>
      <c r="D31" s="49">
        <v>5</v>
      </c>
      <c r="E31" s="49" t="s">
        <v>266</v>
      </c>
      <c r="I31" s="49">
        <v>6</v>
      </c>
      <c r="J31" s="57">
        <v>5.7599999999999998E-2</v>
      </c>
      <c r="K31" s="57">
        <v>8.9200000000000002E-2</v>
      </c>
      <c r="L31" s="57">
        <v>7.3700000000000002E-2</v>
      </c>
      <c r="M31" s="57">
        <v>6.2300000000000001E-2</v>
      </c>
      <c r="N31" s="57">
        <v>5.2850000000000001E-2</v>
      </c>
    </row>
    <row r="32" spans="1:14">
      <c r="I32" s="49">
        <v>7</v>
      </c>
      <c r="J32" s="57"/>
      <c r="K32" s="57">
        <v>8.929999999999999E-2</v>
      </c>
      <c r="L32" s="57">
        <v>6.5500000000000003E-2</v>
      </c>
      <c r="M32" s="57">
        <v>5.9000000000000004E-2</v>
      </c>
      <c r="N32" s="57">
        <v>4.888E-2</v>
      </c>
    </row>
    <row r="33" spans="1:14">
      <c r="A33" s="49" t="s">
        <v>164</v>
      </c>
      <c r="D33" s="49" t="s">
        <v>161</v>
      </c>
      <c r="I33" s="49">
        <v>8</v>
      </c>
      <c r="J33" s="57"/>
      <c r="K33" s="57">
        <v>4.4600000000000001E-2</v>
      </c>
      <c r="L33" s="57">
        <v>6.5500000000000003E-2</v>
      </c>
      <c r="M33" s="57">
        <v>5.9000000000000004E-2</v>
      </c>
      <c r="N33" s="57">
        <v>4.5220000000000003E-2</v>
      </c>
    </row>
    <row r="34" spans="1:14">
      <c r="I34" s="49">
        <v>9</v>
      </c>
      <c r="J34" s="57"/>
      <c r="K34" s="57"/>
      <c r="L34" s="57">
        <v>6.5599999999999992E-2</v>
      </c>
      <c r="M34" s="57">
        <v>5.91E-2</v>
      </c>
      <c r="N34" s="57">
        <v>4.462E-2</v>
      </c>
    </row>
    <row r="35" spans="1:14">
      <c r="I35" s="49">
        <v>10</v>
      </c>
      <c r="J35" s="57"/>
      <c r="K35" s="57"/>
      <c r="L35" s="57">
        <v>6.5500000000000003E-2</v>
      </c>
      <c r="M35" s="57">
        <v>5.9000000000000004E-2</v>
      </c>
      <c r="N35" s="57">
        <v>4.4610000000000004E-2</v>
      </c>
    </row>
    <row r="36" spans="1:14">
      <c r="I36" s="49">
        <v>11</v>
      </c>
      <c r="J36" s="57"/>
      <c r="K36" s="57"/>
      <c r="L36" s="57">
        <v>3.2799999999999996E-2</v>
      </c>
      <c r="M36" s="57">
        <v>5.91E-2</v>
      </c>
      <c r="N36" s="57">
        <v>4.462E-2</v>
      </c>
    </row>
    <row r="37" spans="1:14">
      <c r="A37" s="49" t="s">
        <v>88</v>
      </c>
      <c r="D37" s="58">
        <v>0.23</v>
      </c>
      <c r="I37" s="49">
        <v>12</v>
      </c>
      <c r="J37" s="57"/>
      <c r="K37" s="57"/>
      <c r="L37" s="57"/>
      <c r="M37" s="57">
        <v>5.9000000000000004E-2</v>
      </c>
      <c r="N37" s="57">
        <v>4.4610000000000004E-2</v>
      </c>
    </row>
    <row r="38" spans="1:14">
      <c r="A38" s="49" t="s">
        <v>244</v>
      </c>
      <c r="D38" s="58">
        <v>0.15</v>
      </c>
      <c r="E38" s="49" t="s">
        <v>201</v>
      </c>
      <c r="I38" s="49">
        <v>13</v>
      </c>
      <c r="J38" s="57"/>
      <c r="K38" s="57"/>
      <c r="L38" s="57"/>
      <c r="M38" s="57">
        <v>5.91E-2</v>
      </c>
      <c r="N38" s="57">
        <v>4.462E-2</v>
      </c>
    </row>
    <row r="39" spans="1:14">
      <c r="A39" s="49" t="s">
        <v>89</v>
      </c>
      <c r="D39" s="178">
        <v>2.5000000000000001E-2</v>
      </c>
      <c r="I39" s="49">
        <v>14</v>
      </c>
      <c r="J39" s="57"/>
      <c r="K39" s="57"/>
      <c r="L39" s="57"/>
      <c r="M39" s="57">
        <v>5.9000000000000004E-2</v>
      </c>
      <c r="N39" s="57">
        <v>4.4610000000000004E-2</v>
      </c>
    </row>
    <row r="40" spans="1:14">
      <c r="B40" s="49" t="s">
        <v>309</v>
      </c>
      <c r="D40" s="58">
        <f>0.00001%</f>
        <v>1.0000000000000001E-7</v>
      </c>
      <c r="E40" s="49" t="s">
        <v>305</v>
      </c>
      <c r="I40" s="49">
        <v>15</v>
      </c>
      <c r="J40" s="57"/>
      <c r="K40" s="57"/>
      <c r="L40" s="57"/>
      <c r="M40" s="57">
        <v>5.91E-2</v>
      </c>
      <c r="N40" s="57">
        <v>4.462E-2</v>
      </c>
    </row>
    <row r="41" spans="1:14">
      <c r="B41" s="49" t="s">
        <v>162</v>
      </c>
      <c r="D41" s="58">
        <v>2.5000000000000001E-2</v>
      </c>
      <c r="E41" s="49" t="s">
        <v>306</v>
      </c>
      <c r="I41" s="49">
        <v>16</v>
      </c>
      <c r="J41" s="57"/>
      <c r="K41" s="57"/>
      <c r="L41" s="57"/>
      <c r="M41" s="57">
        <v>2.9500000000000002E-2</v>
      </c>
      <c r="N41" s="57">
        <v>4.4610000000000004E-2</v>
      </c>
    </row>
    <row r="42" spans="1:14">
      <c r="B42" s="49" t="s">
        <v>163</v>
      </c>
      <c r="D42" s="58">
        <v>2.5000000000000001E-2</v>
      </c>
      <c r="E42" s="49" t="s">
        <v>307</v>
      </c>
      <c r="I42" s="49">
        <v>17</v>
      </c>
      <c r="J42" s="57"/>
      <c r="K42" s="57"/>
      <c r="L42" s="57"/>
      <c r="M42" s="57"/>
      <c r="N42" s="57">
        <v>4.462E-2</v>
      </c>
    </row>
    <row r="43" spans="1:14">
      <c r="I43" s="49">
        <v>18</v>
      </c>
      <c r="J43" s="57"/>
      <c r="K43" s="57"/>
      <c r="L43" s="57"/>
      <c r="M43" s="57"/>
      <c r="N43" s="57">
        <v>4.4610000000000004E-2</v>
      </c>
    </row>
    <row r="44" spans="1:14">
      <c r="I44" s="49">
        <v>19</v>
      </c>
      <c r="J44" s="57"/>
      <c r="K44" s="57"/>
      <c r="L44" s="57"/>
      <c r="M44" s="57"/>
      <c r="N44" s="57">
        <v>4.462E-2</v>
      </c>
    </row>
    <row r="45" spans="1:14">
      <c r="A45" s="52" t="s">
        <v>169</v>
      </c>
      <c r="I45" s="49">
        <v>20</v>
      </c>
      <c r="J45" s="57"/>
      <c r="K45" s="57"/>
      <c r="L45" s="57"/>
      <c r="M45" s="57"/>
      <c r="N45" s="57">
        <v>4.4610000000000004E-2</v>
      </c>
    </row>
    <row r="46" spans="1:14">
      <c r="B46" s="49" t="s">
        <v>170</v>
      </c>
      <c r="D46" s="75" t="s">
        <v>358</v>
      </c>
      <c r="I46" s="49">
        <v>21</v>
      </c>
      <c r="J46" s="57"/>
      <c r="K46" s="57"/>
      <c r="L46" s="57"/>
      <c r="M46" s="57"/>
      <c r="N46" s="57">
        <v>2.231E-2</v>
      </c>
    </row>
    <row r="47" spans="1:14">
      <c r="B47" s="49" t="s">
        <v>171</v>
      </c>
      <c r="I47" s="49">
        <v>22</v>
      </c>
    </row>
    <row r="48" spans="1:14">
      <c r="B48" s="49" t="s">
        <v>172</v>
      </c>
      <c r="D48" s="60">
        <v>56059.01</v>
      </c>
      <c r="E48" s="10" t="str">
        <f>IF(D46="Insert Product Unit Here","","/"&amp;D46)</f>
        <v>/tonnes</v>
      </c>
      <c r="I48" s="49">
        <v>23</v>
      </c>
    </row>
    <row r="49" spans="1:9">
      <c r="I49" s="49">
        <v>24</v>
      </c>
    </row>
    <row r="50" spans="1:9">
      <c r="B50" s="49" t="s">
        <v>173</v>
      </c>
      <c r="D50" s="10" t="s">
        <v>248</v>
      </c>
      <c r="I50" s="49">
        <v>25</v>
      </c>
    </row>
    <row r="51" spans="1:9">
      <c r="B51" s="51" t="s">
        <v>2</v>
      </c>
      <c r="D51" s="60">
        <v>5000</v>
      </c>
      <c r="E51" s="10" t="str">
        <f>IF($D$46="Insert Product Unit Here","",$D$46&amp;" per "&amp;B51)</f>
        <v>tonnes per Year</v>
      </c>
      <c r="I51" s="49">
        <v>26</v>
      </c>
    </row>
    <row r="52" spans="1:9">
      <c r="B52" s="49" t="s">
        <v>70</v>
      </c>
      <c r="E52" s="10"/>
      <c r="I52" s="49">
        <v>27</v>
      </c>
    </row>
    <row r="53" spans="1:9">
      <c r="B53" s="51" t="s">
        <v>174</v>
      </c>
      <c r="D53" s="60">
        <v>0</v>
      </c>
      <c r="E53" s="10" t="str">
        <f>IF($D$46="Insert Product Unit Here","",$D$46&amp;" per "&amp;B53)</f>
        <v>tonnes per Day</v>
      </c>
      <c r="I53" s="49">
        <v>28</v>
      </c>
    </row>
    <row r="54" spans="1:9">
      <c r="B54" s="49" t="s">
        <v>70</v>
      </c>
      <c r="D54" s="60"/>
      <c r="E54" s="10"/>
      <c r="I54" s="49">
        <v>29</v>
      </c>
    </row>
    <row r="55" spans="1:9">
      <c r="B55" s="51" t="s">
        <v>175</v>
      </c>
      <c r="D55" s="60">
        <v>0</v>
      </c>
      <c r="E55" s="10" t="str">
        <f>IF($D$46="Insert Product Unit Here","",$D$46&amp;" per "&amp;B55)</f>
        <v>tonnes per Hour</v>
      </c>
      <c r="I55" s="49">
        <v>30</v>
      </c>
    </row>
    <row r="56" spans="1:9">
      <c r="I56" s="49">
        <v>31</v>
      </c>
    </row>
    <row r="57" spans="1:9">
      <c r="I57" s="49">
        <v>32</v>
      </c>
    </row>
    <row r="58" spans="1:9">
      <c r="I58" s="49">
        <v>33</v>
      </c>
    </row>
    <row r="59" spans="1:9">
      <c r="A59" s="52" t="s">
        <v>178</v>
      </c>
    </row>
    <row r="60" spans="1:9">
      <c r="B60" s="61" t="s">
        <v>179</v>
      </c>
      <c r="C60" s="61" t="s">
        <v>180</v>
      </c>
      <c r="D60" s="61" t="s">
        <v>202</v>
      </c>
      <c r="E60" s="61"/>
      <c r="F60" s="61" t="s">
        <v>183</v>
      </c>
      <c r="G60" s="61"/>
    </row>
    <row r="61" spans="1:9">
      <c r="A61" s="49">
        <v>1</v>
      </c>
      <c r="B61" s="49" t="s">
        <v>361</v>
      </c>
      <c r="C61" s="49" t="s">
        <v>362</v>
      </c>
      <c r="D61" s="49">
        <v>3533.86</v>
      </c>
      <c r="E61" s="10" t="str">
        <f>IF(C61="","",C61&amp;" per "&amp;$D$46&amp;" of "&amp;$D$3)</f>
        <v>kg per tonnes of Lithium</v>
      </c>
      <c r="F61" s="49">
        <v>0.17960000000000001</v>
      </c>
      <c r="G61" s="10" t="str">
        <f>IF(C61="","","per "&amp;C61)</f>
        <v>per kg</v>
      </c>
    </row>
    <row r="62" spans="1:9">
      <c r="A62" s="49">
        <v>2</v>
      </c>
      <c r="B62" s="49" t="s">
        <v>363</v>
      </c>
      <c r="C62" s="49" t="s">
        <v>362</v>
      </c>
      <c r="D62" s="49">
        <v>2449.5700000000002</v>
      </c>
      <c r="E62" s="10" t="str">
        <f t="shared" ref="E62:E70" si="0">IF(C62="","",C62&amp;" per "&amp;$D$46&amp;" of "&amp;$D$3)</f>
        <v>kg per tonnes of Lithium</v>
      </c>
      <c r="F62" s="49">
        <v>0.71819999999999995</v>
      </c>
      <c r="G62" s="10" t="str">
        <f t="shared" ref="G62:G70" si="1">IF(C62="","","per "&amp;C62)</f>
        <v>per kg</v>
      </c>
    </row>
    <row r="63" spans="1:9">
      <c r="A63" s="49">
        <v>3</v>
      </c>
      <c r="B63" s="49" t="s">
        <v>364</v>
      </c>
      <c r="C63" s="49" t="s">
        <v>362</v>
      </c>
      <c r="D63" s="49">
        <v>4373.49</v>
      </c>
      <c r="E63" s="10" t="str">
        <f t="shared" si="0"/>
        <v>kg per tonnes of Lithium</v>
      </c>
      <c r="F63" s="49">
        <v>0.84960000000000002</v>
      </c>
      <c r="G63" s="10" t="str">
        <f t="shared" si="1"/>
        <v>per kg</v>
      </c>
    </row>
    <row r="64" spans="1:9">
      <c r="A64" s="49">
        <v>4</v>
      </c>
      <c r="D64" s="201"/>
      <c r="E64" s="10" t="str">
        <f t="shared" si="0"/>
        <v/>
      </c>
      <c r="F64" s="191"/>
      <c r="G64" s="10" t="str">
        <f t="shared" si="1"/>
        <v/>
      </c>
    </row>
    <row r="65" spans="1:8">
      <c r="A65" s="49">
        <v>5</v>
      </c>
      <c r="E65" s="10" t="str">
        <f t="shared" si="0"/>
        <v/>
      </c>
      <c r="F65" s="191"/>
      <c r="G65" s="10" t="str">
        <f t="shared" si="1"/>
        <v/>
      </c>
    </row>
    <row r="66" spans="1:8">
      <c r="A66" s="49">
        <v>6</v>
      </c>
      <c r="D66" s="201"/>
      <c r="E66" s="10" t="str">
        <f t="shared" si="0"/>
        <v/>
      </c>
      <c r="F66" s="191"/>
      <c r="G66" s="10" t="str">
        <f t="shared" si="1"/>
        <v/>
      </c>
    </row>
    <row r="67" spans="1:8">
      <c r="A67" s="49">
        <v>7</v>
      </c>
      <c r="E67" s="10" t="str">
        <f t="shared" si="0"/>
        <v/>
      </c>
      <c r="F67" s="191"/>
      <c r="G67" s="10" t="str">
        <f t="shared" si="1"/>
        <v/>
      </c>
    </row>
    <row r="68" spans="1:8">
      <c r="A68" s="49">
        <v>8</v>
      </c>
      <c r="E68" s="10" t="str">
        <f t="shared" si="0"/>
        <v/>
      </c>
      <c r="F68" s="191"/>
      <c r="G68" s="10" t="str">
        <f t="shared" si="1"/>
        <v/>
      </c>
    </row>
    <row r="69" spans="1:8">
      <c r="A69" s="49">
        <v>9</v>
      </c>
      <c r="E69" s="10" t="str">
        <f t="shared" si="0"/>
        <v/>
      </c>
      <c r="F69" s="191"/>
      <c r="G69" s="10" t="str">
        <f t="shared" si="1"/>
        <v/>
      </c>
    </row>
    <row r="70" spans="1:8">
      <c r="A70" s="62">
        <v>10</v>
      </c>
      <c r="B70" s="62"/>
      <c r="C70" s="62"/>
      <c r="D70" s="62"/>
      <c r="E70" s="17" t="str">
        <f t="shared" si="0"/>
        <v/>
      </c>
      <c r="F70" s="192"/>
      <c r="G70" s="17" t="str">
        <f t="shared" si="1"/>
        <v/>
      </c>
      <c r="H70" s="62"/>
    </row>
    <row r="71" spans="1:8">
      <c r="B71" s="59" t="s">
        <v>182</v>
      </c>
      <c r="F71" s="190">
        <f ca="1">SUMPRODUCT(D61:D70,F61:F70)*'Equipment Costs'!$H$11</f>
        <v>6109.6795339999999</v>
      </c>
      <c r="G71" s="10" t="str">
        <f>"per "&amp;$D$46&amp;" of "&amp;$D$3</f>
        <v>per tonnes of Lithium</v>
      </c>
    </row>
    <row r="74" spans="1:8">
      <c r="A74" s="52" t="s">
        <v>317</v>
      </c>
    </row>
    <row r="75" spans="1:8">
      <c r="B75" s="61" t="s">
        <v>318</v>
      </c>
      <c r="C75" s="61" t="s">
        <v>180</v>
      </c>
      <c r="D75" s="61" t="s">
        <v>241</v>
      </c>
      <c r="E75" s="61"/>
      <c r="F75" s="61" t="s">
        <v>319</v>
      </c>
      <c r="G75" s="61"/>
    </row>
    <row r="76" spans="1:8">
      <c r="A76" s="49">
        <v>1</v>
      </c>
      <c r="B76" s="49" t="s">
        <v>348</v>
      </c>
      <c r="C76" s="49" t="s">
        <v>177</v>
      </c>
      <c r="D76" s="49">
        <v>0</v>
      </c>
      <c r="E76" s="10" t="str">
        <f>IF(C76="","",C76&amp;" per "&amp;$D$46&amp;" of "&amp;$D$3)</f>
        <v>lb per tonnes of Lithium</v>
      </c>
      <c r="F76" s="191">
        <v>1</v>
      </c>
      <c r="G76" s="10" t="str">
        <f>IF(C76="","","per "&amp;C76)</f>
        <v>per lb</v>
      </c>
    </row>
    <row r="77" spans="1:8">
      <c r="A77" s="49">
        <v>2</v>
      </c>
      <c r="B77" s="49" t="s">
        <v>349</v>
      </c>
      <c r="C77" s="49" t="s">
        <v>177</v>
      </c>
      <c r="D77" s="49">
        <v>0</v>
      </c>
      <c r="E77" s="10" t="str">
        <f t="shared" ref="E77:E85" si="2">IF(C77="","",C77&amp;" per "&amp;$D$46&amp;" of "&amp;$D$3)</f>
        <v>lb per tonnes of Lithium</v>
      </c>
      <c r="F77" s="191">
        <v>-2</v>
      </c>
      <c r="G77" s="10" t="str">
        <f t="shared" ref="G77:G85" si="3">IF(C77="","","per "&amp;C77)</f>
        <v>per lb</v>
      </c>
    </row>
    <row r="78" spans="1:8">
      <c r="A78" s="49">
        <v>3</v>
      </c>
      <c r="E78" s="10" t="str">
        <f t="shared" si="2"/>
        <v/>
      </c>
      <c r="F78" s="191"/>
      <c r="G78" s="10" t="str">
        <f t="shared" si="3"/>
        <v/>
      </c>
    </row>
    <row r="79" spans="1:8">
      <c r="A79" s="49">
        <v>4</v>
      </c>
      <c r="E79" s="10" t="str">
        <f t="shared" si="2"/>
        <v/>
      </c>
      <c r="F79" s="191"/>
      <c r="G79" s="10" t="str">
        <f t="shared" si="3"/>
        <v/>
      </c>
    </row>
    <row r="80" spans="1:8">
      <c r="A80" s="49">
        <v>5</v>
      </c>
      <c r="E80" s="10" t="str">
        <f t="shared" si="2"/>
        <v/>
      </c>
      <c r="F80" s="191"/>
      <c r="G80" s="10" t="str">
        <f t="shared" si="3"/>
        <v/>
      </c>
    </row>
    <row r="81" spans="1:8">
      <c r="A81" s="49">
        <v>6</v>
      </c>
      <c r="E81" s="10" t="str">
        <f t="shared" si="2"/>
        <v/>
      </c>
      <c r="F81" s="191"/>
      <c r="G81" s="10" t="str">
        <f t="shared" si="3"/>
        <v/>
      </c>
    </row>
    <row r="82" spans="1:8">
      <c r="A82" s="49">
        <v>7</v>
      </c>
      <c r="E82" s="10" t="str">
        <f t="shared" si="2"/>
        <v/>
      </c>
      <c r="F82" s="191"/>
      <c r="G82" s="10" t="str">
        <f t="shared" si="3"/>
        <v/>
      </c>
    </row>
    <row r="83" spans="1:8">
      <c r="A83" s="49">
        <v>8</v>
      </c>
      <c r="E83" s="10" t="str">
        <f t="shared" si="2"/>
        <v/>
      </c>
      <c r="F83" s="191"/>
      <c r="G83" s="10" t="str">
        <f t="shared" si="3"/>
        <v/>
      </c>
    </row>
    <row r="84" spans="1:8">
      <c r="A84" s="49">
        <v>9</v>
      </c>
      <c r="E84" s="10" t="str">
        <f t="shared" si="2"/>
        <v/>
      </c>
      <c r="F84" s="191"/>
      <c r="G84" s="10" t="str">
        <f t="shared" si="3"/>
        <v/>
      </c>
    </row>
    <row r="85" spans="1:8">
      <c r="A85" s="62">
        <v>10</v>
      </c>
      <c r="B85" s="62"/>
      <c r="C85" s="62"/>
      <c r="D85" s="62"/>
      <c r="E85" s="17" t="str">
        <f t="shared" si="2"/>
        <v/>
      </c>
      <c r="F85" s="192"/>
      <c r="G85" s="17" t="str">
        <f t="shared" si="3"/>
        <v/>
      </c>
      <c r="H85" s="62"/>
    </row>
    <row r="86" spans="1:8">
      <c r="B86" s="59" t="s">
        <v>182</v>
      </c>
      <c r="F86" s="190">
        <f ca="1">SUMPRODUCT(D76:D85,F76:F85)*'Equipment Costs'!$H$11</f>
        <v>0</v>
      </c>
      <c r="G86" s="10" t="str">
        <f>"per "&amp;$D$46&amp;" of "&amp;$D$3</f>
        <v>per tonnes of Lithium</v>
      </c>
    </row>
    <row r="89" spans="1:8">
      <c r="A89" s="52" t="s">
        <v>189</v>
      </c>
    </row>
    <row r="90" spans="1:8">
      <c r="B90" s="61" t="s">
        <v>193</v>
      </c>
      <c r="C90" s="61" t="s">
        <v>180</v>
      </c>
      <c r="D90" s="61" t="s">
        <v>181</v>
      </c>
      <c r="E90" s="61"/>
      <c r="F90" s="61" t="s">
        <v>200</v>
      </c>
      <c r="G90" s="61"/>
    </row>
    <row r="91" spans="1:8">
      <c r="A91" s="49">
        <v>1</v>
      </c>
      <c r="B91" s="49" t="s">
        <v>195</v>
      </c>
      <c r="C91" s="49" t="s">
        <v>177</v>
      </c>
      <c r="E91" s="10" t="str">
        <f t="shared" ref="E91:E100" si="4">IF(C91="","",C91&amp;" per "&amp;$D$46&amp;" of "&amp;$D$3)</f>
        <v>lb per tonnes of Lithium</v>
      </c>
      <c r="F91" s="191"/>
      <c r="G91" s="10" t="str">
        <f t="shared" ref="G91:G100" si="5">IF(C91="","","per "&amp;C91)</f>
        <v>per lb</v>
      </c>
    </row>
    <row r="92" spans="1:8">
      <c r="A92" s="49">
        <v>2</v>
      </c>
      <c r="B92" s="49" t="s">
        <v>196</v>
      </c>
      <c r="C92" s="49" t="s">
        <v>362</v>
      </c>
      <c r="D92" s="49">
        <v>35047</v>
      </c>
      <c r="E92" s="10" t="str">
        <f t="shared" si="4"/>
        <v>kg per tonnes of Lithium</v>
      </c>
      <c r="F92" s="191">
        <f>0.0153*800/567</f>
        <v>2.1587301587301589E-2</v>
      </c>
      <c r="G92" s="10" t="str">
        <f t="shared" si="5"/>
        <v>per kg</v>
      </c>
    </row>
    <row r="93" spans="1:8">
      <c r="A93" s="49">
        <v>3</v>
      </c>
      <c r="B93" s="49" t="s">
        <v>197</v>
      </c>
      <c r="C93" s="49" t="s">
        <v>49</v>
      </c>
      <c r="E93" s="10" t="str">
        <f t="shared" si="4"/>
        <v>gal per tonnes of Lithium</v>
      </c>
      <c r="F93" s="191"/>
      <c r="G93" s="10" t="str">
        <f t="shared" si="5"/>
        <v>per gal</v>
      </c>
    </row>
    <row r="94" spans="1:8">
      <c r="A94" s="49">
        <v>4</v>
      </c>
      <c r="B94" s="49" t="s">
        <v>194</v>
      </c>
      <c r="C94" s="49" t="s">
        <v>177</v>
      </c>
      <c r="E94" s="10" t="str">
        <f t="shared" si="4"/>
        <v>lb per tonnes of Lithium</v>
      </c>
      <c r="F94" s="191"/>
      <c r="G94" s="10" t="str">
        <f t="shared" si="5"/>
        <v>per lb</v>
      </c>
    </row>
    <row r="95" spans="1:8">
      <c r="A95" s="49">
        <v>5</v>
      </c>
      <c r="B95" s="49" t="s">
        <v>198</v>
      </c>
      <c r="C95" s="49" t="s">
        <v>199</v>
      </c>
      <c r="D95" s="49">
        <f>254.37+8</f>
        <v>262.37</v>
      </c>
      <c r="E95" s="10" t="str">
        <f t="shared" si="4"/>
        <v>kWh per tonnes of Lithium</v>
      </c>
      <c r="F95" s="191">
        <f>0.07*800/567</f>
        <v>9.876543209876544E-2</v>
      </c>
      <c r="G95" s="10" t="str">
        <f t="shared" si="5"/>
        <v>per kWh</v>
      </c>
    </row>
    <row r="96" spans="1:8">
      <c r="A96" s="49">
        <v>6</v>
      </c>
      <c r="B96" s="49" t="s">
        <v>388</v>
      </c>
      <c r="C96" s="49" t="s">
        <v>389</v>
      </c>
      <c r="D96" s="49">
        <v>21.06</v>
      </c>
      <c r="E96" s="10" t="str">
        <f t="shared" si="4"/>
        <v>ton-day per tonnes of Lithium</v>
      </c>
      <c r="F96" s="191">
        <f>4*800/567</f>
        <v>5.6437389770723101</v>
      </c>
      <c r="G96" s="10" t="str">
        <f t="shared" si="5"/>
        <v>per ton-day</v>
      </c>
    </row>
    <row r="97" spans="1:8">
      <c r="A97" s="49">
        <v>7</v>
      </c>
      <c r="E97" s="10" t="str">
        <f t="shared" si="4"/>
        <v/>
      </c>
      <c r="F97" s="191"/>
      <c r="G97" s="10" t="str">
        <f t="shared" si="5"/>
        <v/>
      </c>
    </row>
    <row r="98" spans="1:8">
      <c r="A98" s="49">
        <v>8</v>
      </c>
      <c r="E98" s="10" t="str">
        <f t="shared" si="4"/>
        <v/>
      </c>
      <c r="F98" s="191"/>
      <c r="G98" s="10" t="str">
        <f t="shared" si="5"/>
        <v/>
      </c>
    </row>
    <row r="99" spans="1:8">
      <c r="A99" s="49">
        <v>9</v>
      </c>
      <c r="E99" s="10" t="str">
        <f t="shared" si="4"/>
        <v/>
      </c>
      <c r="F99" s="191"/>
      <c r="G99" s="10" t="str">
        <f t="shared" si="5"/>
        <v/>
      </c>
    </row>
    <row r="100" spans="1:8">
      <c r="A100" s="62">
        <v>10</v>
      </c>
      <c r="B100" s="62"/>
      <c r="C100" s="62"/>
      <c r="D100" s="62"/>
      <c r="E100" s="17" t="str">
        <f t="shared" si="4"/>
        <v/>
      </c>
      <c r="F100" s="192"/>
      <c r="G100" s="17" t="str">
        <f t="shared" si="5"/>
        <v/>
      </c>
      <c r="H100" s="62"/>
    </row>
    <row r="101" spans="1:8">
      <c r="B101" s="59" t="s">
        <v>182</v>
      </c>
      <c r="F101" s="190">
        <f ca="1">SUMPRODUCT(D91:D100,F91:F100)*'Equipment Costs'!$H$11</f>
        <v>901.3403880070548</v>
      </c>
      <c r="G101" s="10" t="str">
        <f>"per "&amp;$D$46&amp;" of "&amp;$D$3</f>
        <v>per tonnes of Lithium</v>
      </c>
    </row>
    <row r="103" spans="1:8">
      <c r="A103" s="52" t="s">
        <v>297</v>
      </c>
      <c r="F103" s="52" t="s">
        <v>298</v>
      </c>
    </row>
    <row r="104" spans="1:8">
      <c r="B104" s="49" t="s">
        <v>300</v>
      </c>
      <c r="F104" s="191">
        <v>0</v>
      </c>
      <c r="G104" s="10" t="str">
        <f>"per "&amp;$D$46&amp;" of "&amp;$D$3</f>
        <v>per tonnes of Lithium</v>
      </c>
    </row>
  </sheetData>
  <sheetProtection algorithmName="SHA-512" hashValue="2rDUMgofvvTczi+pCAjTBT/l/ycIanNKeDRHdqS4i0Ja8EGpWuKMNpXhLxS1mlfFBZUEtgDUnrqTt4gBtu+9Uw==" saltValue="XzyQGgtd9E3JWn69P8+Cqw==" spinCount="100000" sheet="1" objects="1" scenarios="1"/>
  <mergeCells count="1">
    <mergeCell ref="J23:N23"/>
  </mergeCells>
  <dataValidations count="1">
    <dataValidation type="list" allowBlank="1" showInputMessage="1" showErrorMessage="1" sqref="D33" xr:uid="{00000000-0002-0000-0600-000000000000}">
      <formula1>$J$24:$N$24</formula1>
    </dataValidation>
  </dataValidations>
  <pageMargins left="0.7" right="0.7" top="0.75" bottom="0.75" header="0.3" footer="0.3"/>
  <pageSetup orientation="portrait" r:id="rId1"/>
  <headerFooter>
    <oddHeader>&amp;C&amp;"Calibri"&amp;10&amp;K000000 Public&amp;1#_x000D_</oddHeader>
    <oddFooter>&amp;C_x000D_&amp;1#&amp;"Calibri"&amp;10&amp;K000000 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R62"/>
  <sheetViews>
    <sheetView topLeftCell="A2" workbookViewId="0">
      <selection activeCell="G27" sqref="G27"/>
    </sheetView>
  </sheetViews>
  <sheetFormatPr defaultColWidth="8.85546875" defaultRowHeight="15"/>
  <cols>
    <col min="2" max="4" width="19.42578125" customWidth="1"/>
  </cols>
  <sheetData>
    <row r="1" spans="1:18" s="10" customFormat="1" ht="15.75">
      <c r="A1" s="37" t="s">
        <v>185</v>
      </c>
      <c r="B1" s="9"/>
      <c r="C1" s="25"/>
      <c r="D1" s="25"/>
      <c r="E1" s="25"/>
      <c r="F1" s="9"/>
      <c r="G1" s="9"/>
    </row>
    <row r="2" spans="1:18">
      <c r="A2" s="10" t="s">
        <v>220</v>
      </c>
      <c r="B2" s="10"/>
      <c r="C2" s="10"/>
      <c r="D2" s="10"/>
      <c r="E2" s="10"/>
      <c r="F2" s="10"/>
      <c r="G2" s="10"/>
      <c r="H2" s="10"/>
      <c r="I2" s="10"/>
      <c r="J2" s="10"/>
      <c r="K2" s="10"/>
      <c r="L2" s="10"/>
      <c r="M2" s="10"/>
      <c r="N2" s="10"/>
      <c r="O2" s="10"/>
      <c r="P2" s="10"/>
      <c r="Q2" s="10"/>
      <c r="R2" s="10"/>
    </row>
    <row r="3" spans="1:18">
      <c r="A3" s="10" t="s">
        <v>221</v>
      </c>
      <c r="B3" s="10"/>
      <c r="C3" s="10"/>
      <c r="D3" s="10"/>
      <c r="E3" s="10"/>
      <c r="F3" s="10"/>
      <c r="G3" s="10"/>
      <c r="H3" s="10"/>
      <c r="I3" s="10"/>
      <c r="J3" s="10"/>
      <c r="K3" s="10"/>
      <c r="L3" s="10"/>
      <c r="M3" s="10"/>
      <c r="N3" s="10"/>
      <c r="O3" s="10"/>
      <c r="P3" s="10"/>
      <c r="Q3" s="10"/>
      <c r="R3" s="10"/>
    </row>
    <row r="4" spans="1:18">
      <c r="A4" s="10" t="s">
        <v>222</v>
      </c>
      <c r="B4" s="10"/>
      <c r="C4" s="10"/>
      <c r="D4" s="10"/>
      <c r="E4" s="10"/>
      <c r="F4" s="10"/>
      <c r="G4" s="10"/>
      <c r="H4" s="10"/>
      <c r="I4" s="10"/>
      <c r="J4" s="10"/>
      <c r="K4" s="10"/>
      <c r="L4" s="10"/>
      <c r="M4" s="10"/>
      <c r="N4" s="10"/>
      <c r="O4" s="10"/>
      <c r="P4" s="10"/>
      <c r="Q4" s="10"/>
      <c r="R4" s="10"/>
    </row>
    <row r="5" spans="1:18">
      <c r="A5" s="10"/>
      <c r="B5" s="10"/>
      <c r="C5" s="10"/>
      <c r="D5" s="10"/>
      <c r="E5" s="10"/>
      <c r="F5" s="10"/>
      <c r="G5" s="10"/>
      <c r="H5" s="10"/>
      <c r="I5" s="10"/>
      <c r="J5" s="10"/>
      <c r="K5" s="10"/>
      <c r="L5" s="10"/>
      <c r="M5" s="10"/>
      <c r="N5" s="10"/>
      <c r="O5" s="10"/>
      <c r="P5" s="10"/>
      <c r="Q5" s="10"/>
      <c r="R5" s="10"/>
    </row>
    <row r="6" spans="1:18">
      <c r="A6" s="10"/>
      <c r="B6" s="10"/>
      <c r="C6" s="10"/>
      <c r="D6" s="10"/>
      <c r="E6" s="10"/>
      <c r="F6" s="10"/>
      <c r="G6" s="10"/>
      <c r="H6" s="10"/>
      <c r="I6" s="10"/>
      <c r="J6" s="10"/>
      <c r="K6" s="10"/>
      <c r="L6" s="10"/>
      <c r="M6" s="10"/>
      <c r="N6" s="10"/>
      <c r="O6" s="10"/>
      <c r="P6" s="10"/>
      <c r="Q6" s="10"/>
      <c r="R6" s="10"/>
    </row>
    <row r="7" spans="1:18">
      <c r="A7" s="10" t="s">
        <v>2</v>
      </c>
      <c r="B7" s="26" t="s">
        <v>187</v>
      </c>
      <c r="C7" s="26" t="s">
        <v>223</v>
      </c>
      <c r="D7" s="26" t="s">
        <v>186</v>
      </c>
      <c r="E7" s="10"/>
      <c r="F7" s="10"/>
      <c r="G7" s="10"/>
      <c r="H7" s="10"/>
      <c r="I7" s="10"/>
      <c r="J7" s="10"/>
      <c r="K7" s="10"/>
      <c r="L7" s="10"/>
      <c r="M7" s="10"/>
      <c r="N7" s="10"/>
      <c r="O7" s="10"/>
      <c r="P7" s="10"/>
      <c r="Q7" s="10"/>
      <c r="R7" s="10"/>
    </row>
    <row r="8" spans="1:18">
      <c r="A8" s="10">
        <f>'General Input'!D11+SUM('General Input'!D7:D8)</f>
        <v>2026</v>
      </c>
      <c r="B8" s="39">
        <f>'General Input'!D48</f>
        <v>56059.01</v>
      </c>
      <c r="C8" s="72">
        <v>48671</v>
      </c>
      <c r="D8" s="39">
        <f>IF(B8="","",IF(C8&gt;0,C8*'Profitability Measures'!$R$36,B8*'Profitability Measures'!$R$36))</f>
        <v>48671</v>
      </c>
      <c r="E8" s="10"/>
      <c r="F8" s="10"/>
      <c r="G8" s="10"/>
      <c r="H8" s="10"/>
      <c r="I8" s="10"/>
      <c r="J8" s="10"/>
      <c r="K8" s="10"/>
      <c r="L8" s="10"/>
      <c r="M8" s="10"/>
      <c r="N8" s="10"/>
      <c r="O8" s="10"/>
      <c r="P8" s="10"/>
      <c r="Q8" s="10"/>
      <c r="R8" s="10"/>
    </row>
    <row r="9" spans="1:18">
      <c r="A9" s="10">
        <f>IF(A8="","",IF(('General Input'!$D$11+'General Input'!$D$10-1)&gt;'Selling Price'!A8,'Selling Price'!A8+1,""))</f>
        <v>2027</v>
      </c>
      <c r="B9" s="39">
        <f>IF(A9="","",IF('General Input'!$D$40&gt;0,(1+'General Input'!$D$40)^('Selling Price'!A9-'Selling Price'!$A$8)*'Selling Price'!$B$8,(1+'General Input'!$D$39)^('Selling Price'!A9-'Selling Price'!$A$8)*'Selling Price'!$B$8))</f>
        <v>56059.015605901004</v>
      </c>
      <c r="C9" s="72">
        <v>55551</v>
      </c>
      <c r="D9" s="39">
        <f>IF(B9="","",IF(C9&gt;0,C9*'Profitability Measures'!$R$36,B9*'Profitability Measures'!$R$36))</f>
        <v>55551</v>
      </c>
      <c r="E9" s="10"/>
      <c r="F9" s="10"/>
      <c r="G9" s="10"/>
      <c r="H9" s="10"/>
      <c r="I9" s="10"/>
      <c r="J9" s="10"/>
      <c r="K9" s="10"/>
      <c r="L9" s="10"/>
      <c r="M9" s="10"/>
      <c r="N9" s="10"/>
      <c r="O9" s="10"/>
      <c r="P9" s="10"/>
      <c r="Q9" s="10"/>
      <c r="R9" s="10"/>
    </row>
    <row r="10" spans="1:18">
      <c r="A10" s="10">
        <f>IF(A9="","",IF(('General Input'!$D$11+'General Input'!$D$10-1)&gt;'Selling Price'!A9,'Selling Price'!A9+1,""))</f>
        <v>2028</v>
      </c>
      <c r="B10" s="39">
        <f>IF(A10="","",IF('General Input'!$D$40&gt;0,(1+'General Input'!$D$40)^('Selling Price'!A10-'Selling Price'!$A$8)*'Selling Price'!$B$8,(1+'General Input'!$D$39)^('Selling Price'!A10-'Selling Price'!$A$8)*'Selling Price'!$B$8))</f>
        <v>56059.021211802567</v>
      </c>
      <c r="C10" s="72">
        <v>55551</v>
      </c>
      <c r="D10" s="39">
        <f>IF(B10="","",IF(C10&gt;0,C10*'Profitability Measures'!$R$36,B10*'Profitability Measures'!$R$36))</f>
        <v>55551</v>
      </c>
      <c r="E10" s="10"/>
      <c r="F10" s="10"/>
      <c r="G10" s="10"/>
      <c r="H10" s="10"/>
      <c r="I10" s="10"/>
      <c r="J10" s="10"/>
      <c r="K10" s="10"/>
      <c r="L10" s="10"/>
      <c r="M10" s="10"/>
      <c r="N10" s="10"/>
      <c r="O10" s="10"/>
      <c r="P10" s="10"/>
      <c r="Q10" s="10"/>
      <c r="R10" s="10"/>
    </row>
    <row r="11" spans="1:18">
      <c r="A11" s="10">
        <f>IF(A10="","",IF(('General Input'!$D$11+'General Input'!$D$10-1)&gt;'Selling Price'!A10,'Selling Price'!A10+1,""))</f>
        <v>2029</v>
      </c>
      <c r="B11" s="39">
        <f>IF(A11="","",IF('General Input'!$D$40&gt;0,(1+'General Input'!$D$40)^('Selling Price'!A11-'Selling Price'!$A$8)*'Selling Price'!$B$8,(1+'General Input'!$D$39)^('Selling Price'!A11-'Selling Price'!$A$8)*'Selling Price'!$B$8))</f>
        <v>56059.026817704689</v>
      </c>
      <c r="C11" s="72">
        <v>55551</v>
      </c>
      <c r="D11" s="39">
        <f>IF(B11="","",IF(C11&gt;0,C11*'Profitability Measures'!$R$36,B11*'Profitability Measures'!$R$36))</f>
        <v>55551</v>
      </c>
      <c r="E11" s="10"/>
      <c r="F11" s="10"/>
      <c r="G11" s="10"/>
      <c r="H11" s="10"/>
      <c r="I11" s="10"/>
      <c r="J11" s="10"/>
      <c r="K11" s="10"/>
      <c r="L11" s="10"/>
      <c r="M11" s="10"/>
      <c r="N11" s="10"/>
      <c r="O11" s="10"/>
      <c r="P11" s="10"/>
      <c r="Q11" s="10"/>
      <c r="R11" s="10"/>
    </row>
    <row r="12" spans="1:18">
      <c r="A12" s="10">
        <f>IF(A11="","",IF(('General Input'!$D$11+'General Input'!$D$10-1)&gt;'Selling Price'!A11,'Selling Price'!A11+1,""))</f>
        <v>2030</v>
      </c>
      <c r="B12" s="39">
        <f>IF(A12="","",IF('General Input'!$D$40&gt;0,(1+'General Input'!$D$40)^('Selling Price'!A12-'Selling Price'!$A$8)*'Selling Price'!$B$8,(1+'General Input'!$D$39)^('Selling Price'!A12-'Selling Price'!$A$8)*'Selling Price'!$B$8))</f>
        <v>56059.032423607379</v>
      </c>
      <c r="C12" s="72">
        <v>55551</v>
      </c>
      <c r="D12" s="39">
        <f>IF(B12="","",IF(C12&gt;0,C12*'Profitability Measures'!$R$36,B12*'Profitability Measures'!$R$36))</f>
        <v>55551</v>
      </c>
      <c r="E12" s="10"/>
      <c r="F12" s="10"/>
      <c r="G12" s="10"/>
      <c r="H12" s="10"/>
      <c r="I12" s="10"/>
      <c r="J12" s="10"/>
      <c r="K12" s="10"/>
      <c r="L12" s="10"/>
      <c r="M12" s="10"/>
      <c r="N12" s="10"/>
      <c r="O12" s="10"/>
      <c r="P12" s="10"/>
      <c r="Q12" s="10"/>
      <c r="R12" s="10"/>
    </row>
    <row r="13" spans="1:18">
      <c r="A13" s="10">
        <f>IF(A12="","",IF(('General Input'!$D$11+'General Input'!$D$10-1)&gt;'Selling Price'!A12,'Selling Price'!A12+1,""))</f>
        <v>2031</v>
      </c>
      <c r="B13" s="39">
        <f>IF(A13="","",IF('General Input'!$D$40&gt;0,(1+'General Input'!$D$40)^('Selling Price'!A13-'Selling Price'!$A$8)*'Selling Price'!$B$8,(1+'General Input'!$D$39)^('Selling Price'!A13-'Selling Price'!$A$8)*'Selling Price'!$B$8))</f>
        <v>56059.038029510622</v>
      </c>
      <c r="C13" s="72">
        <v>55551</v>
      </c>
      <c r="D13" s="39">
        <f>IF(B13="","",IF(C13&gt;0,C13*'Profitability Measures'!$R$36,B13*'Profitability Measures'!$R$36))</f>
        <v>55551</v>
      </c>
      <c r="E13" s="10"/>
      <c r="F13" s="10"/>
      <c r="G13" s="10"/>
      <c r="H13" s="10"/>
      <c r="I13" s="10"/>
      <c r="J13" s="10"/>
      <c r="K13" s="10"/>
      <c r="L13" s="10"/>
      <c r="M13" s="10"/>
      <c r="N13" s="10"/>
      <c r="O13" s="10"/>
      <c r="P13" s="10"/>
      <c r="Q13" s="10"/>
      <c r="R13" s="10"/>
    </row>
    <row r="14" spans="1:18">
      <c r="A14" s="10">
        <f>IF(A13="","",IF(('General Input'!$D$11+'General Input'!$D$10-1)&gt;'Selling Price'!A13,'Selling Price'!A13+1,""))</f>
        <v>2032</v>
      </c>
      <c r="B14" s="39">
        <f>IF(A14="","",IF('General Input'!$D$40&gt;0,(1+'General Input'!$D$40)^('Selling Price'!A14-'Selling Price'!$A$8)*'Selling Price'!$B$8,(1+'General Input'!$D$39)^('Selling Price'!A14-'Selling Price'!$A$8)*'Selling Price'!$B$8))</f>
        <v>56059.043635414426</v>
      </c>
      <c r="C14" s="72">
        <v>55551</v>
      </c>
      <c r="D14" s="39">
        <f>IF(B14="","",IF(C14&gt;0,C14*'Profitability Measures'!$R$36,B14*'Profitability Measures'!$R$36))</f>
        <v>55551</v>
      </c>
      <c r="E14" s="10"/>
      <c r="F14" s="10"/>
      <c r="G14" s="10"/>
      <c r="H14" s="10"/>
      <c r="I14" s="10"/>
      <c r="J14" s="10"/>
      <c r="K14" s="10"/>
      <c r="L14" s="10"/>
      <c r="M14" s="10"/>
      <c r="N14" s="10"/>
      <c r="O14" s="10"/>
      <c r="P14" s="10"/>
      <c r="Q14" s="10"/>
      <c r="R14" s="10"/>
    </row>
    <row r="15" spans="1:18">
      <c r="A15" s="10">
        <f>IF(A14="","",IF(('General Input'!$D$11+'General Input'!$D$10-1)&gt;'Selling Price'!A14,'Selling Price'!A14+1,""))</f>
        <v>2033</v>
      </c>
      <c r="B15" s="39">
        <f>IF(A15="","",IF('General Input'!$D$40&gt;0,(1+'General Input'!$D$40)^('Selling Price'!A15-'Selling Price'!$A$8)*'Selling Price'!$B$8,(1+'General Input'!$D$39)^('Selling Price'!A15-'Selling Price'!$A$8)*'Selling Price'!$B$8))</f>
        <v>56059.049241318789</v>
      </c>
      <c r="C15" s="72">
        <v>55551</v>
      </c>
      <c r="D15" s="39">
        <f>IF(B15="","",IF(C15&gt;0,C15*'Profitability Measures'!$R$36,B15*'Profitability Measures'!$R$36))</f>
        <v>55551</v>
      </c>
      <c r="E15" s="10"/>
      <c r="F15" s="10"/>
      <c r="G15" s="10"/>
      <c r="H15" s="10"/>
      <c r="I15" s="10"/>
      <c r="J15" s="10"/>
      <c r="K15" s="10"/>
      <c r="L15" s="10"/>
      <c r="M15" s="10"/>
      <c r="N15" s="10"/>
      <c r="O15" s="10"/>
      <c r="P15" s="10"/>
      <c r="Q15" s="10"/>
      <c r="R15" s="10"/>
    </row>
    <row r="16" spans="1:18">
      <c r="A16" s="10">
        <f>IF(A15="","",IF(('General Input'!$D$11+'General Input'!$D$10-1)&gt;'Selling Price'!A15,'Selling Price'!A15+1,""))</f>
        <v>2034</v>
      </c>
      <c r="B16" s="39">
        <f>IF(A16="","",IF('General Input'!$D$40&gt;0,(1+'General Input'!$D$40)^('Selling Price'!A16-'Selling Price'!$A$8)*'Selling Price'!$B$8,(1+'General Input'!$D$39)^('Selling Price'!A16-'Selling Price'!$A$8)*'Selling Price'!$B$8))</f>
        <v>56059.054847223728</v>
      </c>
      <c r="C16" s="72">
        <v>55551</v>
      </c>
      <c r="D16" s="39">
        <f>IF(B16="","",IF(C16&gt;0,C16*'Profitability Measures'!$R$36,B16*'Profitability Measures'!$R$36))</f>
        <v>55551</v>
      </c>
      <c r="E16" s="10"/>
      <c r="F16" s="10"/>
      <c r="G16" s="10"/>
      <c r="H16" s="10"/>
      <c r="I16" s="10"/>
      <c r="J16" s="10"/>
      <c r="K16" s="10"/>
      <c r="L16" s="10"/>
      <c r="M16" s="10"/>
      <c r="N16" s="10"/>
      <c r="O16" s="10"/>
      <c r="P16" s="10"/>
      <c r="Q16" s="10"/>
      <c r="R16" s="10"/>
    </row>
    <row r="17" spans="1:18">
      <c r="A17" s="10">
        <f>IF(A16="","",IF(('General Input'!$D$11+'General Input'!$D$10-1)&gt;'Selling Price'!A16,'Selling Price'!A16+1,""))</f>
        <v>2035</v>
      </c>
      <c r="B17" s="39">
        <f>IF(A17="","",IF('General Input'!$D$40&gt;0,(1+'General Input'!$D$40)^('Selling Price'!A17-'Selling Price'!$A$8)*'Selling Price'!$B$8,(1+'General Input'!$D$39)^('Selling Price'!A17-'Selling Price'!$A$8)*'Selling Price'!$B$8))</f>
        <v>56059.060453129212</v>
      </c>
      <c r="C17" s="72">
        <v>55551</v>
      </c>
      <c r="D17" s="39">
        <f>IF(B17="","",IF(C17&gt;0,C17*'Profitability Measures'!$R$36,B17*'Profitability Measures'!$R$36))</f>
        <v>55551</v>
      </c>
      <c r="E17" s="10"/>
      <c r="F17" s="10"/>
      <c r="G17" s="10"/>
      <c r="H17" s="10"/>
      <c r="I17" s="10"/>
      <c r="J17" s="10"/>
      <c r="K17" s="10"/>
      <c r="L17" s="10"/>
      <c r="M17" s="10"/>
      <c r="N17" s="10"/>
      <c r="O17" s="10"/>
      <c r="P17" s="10"/>
      <c r="Q17" s="10"/>
      <c r="R17" s="10"/>
    </row>
    <row r="18" spans="1:18">
      <c r="A18" s="10">
        <f>IF(A17="","",IF(('General Input'!$D$11+'General Input'!$D$10-1)&gt;'Selling Price'!A17,'Selling Price'!A17+1,""))</f>
        <v>2036</v>
      </c>
      <c r="B18" s="39">
        <f>IF(A18="","",IF('General Input'!$D$40&gt;0,(1+'General Input'!$D$40)^('Selling Price'!A18-'Selling Price'!$A$8)*'Selling Price'!$B$8,(1+'General Input'!$D$39)^('Selling Price'!A18-'Selling Price'!$A$8)*'Selling Price'!$B$8))</f>
        <v>56059.066059035264</v>
      </c>
      <c r="C18" s="72">
        <v>55551</v>
      </c>
      <c r="D18" s="39">
        <f>IF(B18="","",IF(C18&gt;0,C18*'Profitability Measures'!$R$36,B18*'Profitability Measures'!$R$36))</f>
        <v>55551</v>
      </c>
      <c r="E18" s="10"/>
      <c r="F18" s="10"/>
      <c r="G18" s="10"/>
      <c r="H18" s="10"/>
      <c r="I18" s="10"/>
      <c r="J18" s="10"/>
      <c r="K18" s="10"/>
      <c r="L18" s="10"/>
      <c r="M18" s="10"/>
      <c r="N18" s="10"/>
      <c r="O18" s="10"/>
      <c r="P18" s="10"/>
      <c r="Q18" s="10"/>
      <c r="R18" s="10"/>
    </row>
    <row r="19" spans="1:18">
      <c r="A19" s="10">
        <f>IF(A18="","",IF(('General Input'!$D$11+'General Input'!$D$10-1)&gt;'Selling Price'!A18,'Selling Price'!A18+1,""))</f>
        <v>2037</v>
      </c>
      <c r="B19" s="39">
        <f>IF(A19="","",IF('General Input'!$D$40&gt;0,(1+'General Input'!$D$40)^('Selling Price'!A19-'Selling Price'!$A$8)*'Selling Price'!$B$8,(1+'General Input'!$D$39)^('Selling Price'!A19-'Selling Price'!$A$8)*'Selling Price'!$B$8))</f>
        <v>56059.071664941868</v>
      </c>
      <c r="C19" s="72">
        <v>55551</v>
      </c>
      <c r="D19" s="39">
        <f>IF(B19="","",IF(C19&gt;0,C19*'Profitability Measures'!$R$36,B19*'Profitability Measures'!$R$36))</f>
        <v>55551</v>
      </c>
      <c r="E19" s="10"/>
      <c r="F19" s="10"/>
      <c r="G19" s="10"/>
      <c r="H19" s="10"/>
      <c r="I19" s="10"/>
      <c r="J19" s="10"/>
      <c r="K19" s="10"/>
      <c r="L19" s="10"/>
      <c r="M19" s="10"/>
      <c r="N19" s="10"/>
      <c r="O19" s="10"/>
      <c r="P19" s="10"/>
      <c r="Q19" s="10"/>
      <c r="R19" s="10"/>
    </row>
    <row r="20" spans="1:18">
      <c r="A20" s="10">
        <f>IF(A19="","",IF(('General Input'!$D$11+'General Input'!$D$10-1)&gt;'Selling Price'!A19,'Selling Price'!A19+1,""))</f>
        <v>2038</v>
      </c>
      <c r="B20" s="39">
        <f>IF(A20="","",IF('General Input'!$D$40&gt;0,(1+'General Input'!$D$40)^('Selling Price'!A20-'Selling Price'!$A$8)*'Selling Price'!$B$8,(1+'General Input'!$D$39)^('Selling Price'!A20-'Selling Price'!$A$8)*'Selling Price'!$B$8))</f>
        <v>56059.077270849033</v>
      </c>
      <c r="C20" s="72">
        <v>55551</v>
      </c>
      <c r="D20" s="39">
        <f>IF(B20="","",IF(C20&gt;0,C20*'Profitability Measures'!$R$36,B20*'Profitability Measures'!$R$36))</f>
        <v>55551</v>
      </c>
      <c r="E20" s="10"/>
      <c r="F20" s="10"/>
      <c r="G20" s="10"/>
      <c r="H20" s="10"/>
      <c r="I20" s="10"/>
      <c r="J20" s="10"/>
      <c r="K20" s="10"/>
      <c r="L20" s="10"/>
      <c r="M20" s="10"/>
      <c r="N20" s="10"/>
      <c r="O20" s="10"/>
      <c r="P20" s="10"/>
      <c r="Q20" s="10"/>
      <c r="R20" s="10"/>
    </row>
    <row r="21" spans="1:18">
      <c r="A21" s="10">
        <f>IF(A20="","",IF(('General Input'!$D$11+'General Input'!$D$10-1)&gt;'Selling Price'!A20,'Selling Price'!A20+1,""))</f>
        <v>2039</v>
      </c>
      <c r="B21" s="39">
        <f>IF(A21="","",IF('General Input'!$D$40&gt;0,(1+'General Input'!$D$40)^('Selling Price'!A21-'Selling Price'!$A$8)*'Selling Price'!$B$8,(1+'General Input'!$D$39)^('Selling Price'!A21-'Selling Price'!$A$8)*'Selling Price'!$B$8))</f>
        <v>56059.082876756758</v>
      </c>
      <c r="C21" s="72">
        <v>55551</v>
      </c>
      <c r="D21" s="39">
        <f>IF(B21="","",IF(C21&gt;0,C21*'Profitability Measures'!$R$36,B21*'Profitability Measures'!$R$36))</f>
        <v>55551</v>
      </c>
      <c r="E21" s="10"/>
      <c r="F21" s="10"/>
      <c r="G21" s="10"/>
      <c r="H21" s="10"/>
      <c r="I21" s="10"/>
      <c r="J21" s="10"/>
      <c r="K21" s="10"/>
      <c r="L21" s="10"/>
      <c r="M21" s="10"/>
      <c r="N21" s="10"/>
      <c r="O21" s="10"/>
      <c r="P21" s="10"/>
      <c r="Q21" s="10"/>
      <c r="R21" s="10"/>
    </row>
    <row r="22" spans="1:18">
      <c r="A22" s="10">
        <f>IF(A21="","",IF(('General Input'!$D$11+'General Input'!$D$10-1)&gt;'Selling Price'!A21,'Selling Price'!A21+1,""))</f>
        <v>2040</v>
      </c>
      <c r="B22" s="39">
        <f>IF(A22="","",IF('General Input'!$D$40&gt;0,(1+'General Input'!$D$40)^('Selling Price'!A22-'Selling Price'!$A$8)*'Selling Price'!$B$8,(1+'General Input'!$D$39)^('Selling Price'!A22-'Selling Price'!$A$8)*'Selling Price'!$B$8))</f>
        <v>56059.088482665058</v>
      </c>
      <c r="C22" s="72">
        <v>55551</v>
      </c>
      <c r="D22" s="39">
        <f>IF(B22="","",IF(C22&gt;0,C22*'Profitability Measures'!$R$36,B22*'Profitability Measures'!$R$36))</f>
        <v>55551</v>
      </c>
      <c r="E22" s="10"/>
      <c r="F22" s="10"/>
      <c r="G22" s="10"/>
      <c r="H22" s="10"/>
      <c r="I22" s="10"/>
      <c r="J22" s="10"/>
      <c r="K22" s="10"/>
      <c r="L22" s="10"/>
      <c r="M22" s="10"/>
      <c r="N22" s="10"/>
      <c r="O22" s="10"/>
      <c r="P22" s="10"/>
      <c r="Q22" s="10"/>
      <c r="R22" s="10"/>
    </row>
    <row r="23" spans="1:18">
      <c r="A23" s="10">
        <f>IF(A22="","",IF(('General Input'!$D$11+'General Input'!$D$10-1)&gt;'Selling Price'!A22,'Selling Price'!A22+1,""))</f>
        <v>2041</v>
      </c>
      <c r="B23" s="39">
        <f>IF(A23="","",IF('General Input'!$D$40&gt;0,(1+'General Input'!$D$40)^('Selling Price'!A23-'Selling Price'!$A$8)*'Selling Price'!$B$8,(1+'General Input'!$D$39)^('Selling Price'!A23-'Selling Price'!$A$8)*'Selling Price'!$B$8))</f>
        <v>56059.094088573904</v>
      </c>
      <c r="C23" s="72">
        <v>55551</v>
      </c>
      <c r="D23" s="39">
        <f>IF(B23="","",IF(C23&gt;0,C23*'Profitability Measures'!$R$36,B23*'Profitability Measures'!$R$36))</f>
        <v>55551</v>
      </c>
      <c r="E23" s="10"/>
      <c r="F23" s="10"/>
      <c r="G23" s="10"/>
      <c r="H23" s="10"/>
      <c r="I23" s="10"/>
      <c r="J23" s="10"/>
      <c r="K23" s="10"/>
      <c r="L23" s="10"/>
      <c r="M23" s="10"/>
      <c r="N23" s="10"/>
      <c r="O23" s="10"/>
      <c r="P23" s="10"/>
      <c r="Q23" s="10"/>
      <c r="R23" s="10"/>
    </row>
    <row r="24" spans="1:18">
      <c r="A24" s="10">
        <f>IF(A23="","",IF(('General Input'!$D$11+'General Input'!$D$10-1)&gt;'Selling Price'!A23,'Selling Price'!A23+1,""))</f>
        <v>2042</v>
      </c>
      <c r="B24" s="39">
        <f>IF(A24="","",IF('General Input'!$D$40&gt;0,(1+'General Input'!$D$40)^('Selling Price'!A24-'Selling Price'!$A$8)*'Selling Price'!$B$8,(1+'General Input'!$D$39)^('Selling Price'!A24-'Selling Price'!$A$8)*'Selling Price'!$B$8))</f>
        <v>56059.099694483324</v>
      </c>
      <c r="C24" s="72">
        <v>55551</v>
      </c>
      <c r="D24" s="39">
        <f>IF(B24="","",IF(C24&gt;0,C24*'Profitability Measures'!$R$36,B24*'Profitability Measures'!$R$36))</f>
        <v>55551</v>
      </c>
      <c r="E24" s="10"/>
      <c r="F24" s="10"/>
      <c r="G24" s="10"/>
      <c r="H24" s="10"/>
      <c r="I24" s="10"/>
      <c r="J24" s="10"/>
      <c r="K24" s="10"/>
      <c r="L24" s="10"/>
      <c r="M24" s="10"/>
      <c r="N24" s="10"/>
      <c r="O24" s="10"/>
      <c r="P24" s="10"/>
      <c r="Q24" s="10"/>
      <c r="R24" s="10"/>
    </row>
    <row r="25" spans="1:18">
      <c r="A25" s="10">
        <f>IF(A24="","",IF(('General Input'!$D$11+'General Input'!$D$10-1)&gt;'Selling Price'!A24,'Selling Price'!A24+1,""))</f>
        <v>2043</v>
      </c>
      <c r="B25" s="39">
        <f>IF(A25="","",IF('General Input'!$D$40&gt;0,(1+'General Input'!$D$40)^('Selling Price'!A25-'Selling Price'!$A$8)*'Selling Price'!$B$8,(1+'General Input'!$D$39)^('Selling Price'!A25-'Selling Price'!$A$8)*'Selling Price'!$B$8))</f>
        <v>56059.105300393298</v>
      </c>
      <c r="C25" s="72">
        <v>55551</v>
      </c>
      <c r="D25" s="39">
        <f>IF(B25="","",IF(C25&gt;0,C25*'Profitability Measures'!$R$36,B25*'Profitability Measures'!$R$36))</f>
        <v>55551</v>
      </c>
      <c r="E25" s="10"/>
      <c r="F25" s="10"/>
      <c r="G25" s="10"/>
      <c r="H25" s="10"/>
      <c r="I25" s="10"/>
      <c r="J25" s="10"/>
      <c r="K25" s="10"/>
      <c r="L25" s="10"/>
      <c r="M25" s="10"/>
      <c r="N25" s="10"/>
      <c r="O25" s="10"/>
      <c r="P25" s="10"/>
      <c r="Q25" s="10"/>
      <c r="R25" s="10"/>
    </row>
    <row r="26" spans="1:18">
      <c r="A26" s="10">
        <f>IF(A25="","",IF(('General Input'!$D$11+'General Input'!$D$10-1)&gt;'Selling Price'!A25,'Selling Price'!A25+1,""))</f>
        <v>2044</v>
      </c>
      <c r="B26" s="39">
        <f>IF(A26="","",IF('General Input'!$D$40&gt;0,(1+'General Input'!$D$40)^('Selling Price'!A26-'Selling Price'!$A$8)*'Selling Price'!$B$8,(1+'General Input'!$D$39)^('Selling Price'!A26-'Selling Price'!$A$8)*'Selling Price'!$B$8))</f>
        <v>56059.110906303824</v>
      </c>
      <c r="C26" s="72">
        <v>55551</v>
      </c>
      <c r="D26" s="39">
        <f>IF(B26="","",IF(C26&gt;0,C26*'Profitability Measures'!$R$36,B26*'Profitability Measures'!$R$36))</f>
        <v>55551</v>
      </c>
      <c r="E26" s="10"/>
      <c r="F26" s="10"/>
      <c r="G26" s="10"/>
      <c r="H26" s="10"/>
      <c r="I26" s="10"/>
      <c r="J26" s="10"/>
      <c r="K26" s="10"/>
      <c r="L26" s="10"/>
      <c r="M26" s="10"/>
      <c r="N26" s="10"/>
      <c r="O26" s="10"/>
      <c r="P26" s="10"/>
      <c r="Q26" s="10"/>
      <c r="R26" s="10"/>
    </row>
    <row r="27" spans="1:18">
      <c r="A27" s="10">
        <f>IF(A26="","",IF(('General Input'!$D$11+'General Input'!$D$10-1)&gt;'Selling Price'!A26,'Selling Price'!A26+1,""))</f>
        <v>2045</v>
      </c>
      <c r="B27" s="39">
        <f>IF(A27="","",IF('General Input'!$D$40&gt;0,(1+'General Input'!$D$40)^('Selling Price'!A27-'Selling Price'!$A$8)*'Selling Price'!$B$8,(1+'General Input'!$D$39)^('Selling Price'!A27-'Selling Price'!$A$8)*'Selling Price'!$B$8))</f>
        <v>56059.116512214925</v>
      </c>
      <c r="C27" s="72">
        <v>55551</v>
      </c>
      <c r="D27" s="39">
        <f>IF(B27="","",IF(C27&gt;0,C27*'Profitability Measures'!$R$36,B27*'Profitability Measures'!$R$36))</f>
        <v>55551</v>
      </c>
      <c r="E27" s="10"/>
      <c r="F27" s="10"/>
      <c r="G27" s="10"/>
      <c r="H27" s="10"/>
      <c r="I27" s="10"/>
      <c r="J27" s="10"/>
      <c r="K27" s="10"/>
      <c r="L27" s="10"/>
      <c r="M27" s="10"/>
      <c r="N27" s="10"/>
      <c r="O27" s="10"/>
      <c r="P27" s="10"/>
      <c r="Q27" s="10"/>
      <c r="R27" s="10"/>
    </row>
    <row r="28" spans="1:18">
      <c r="A28" s="10" t="str">
        <f>IF(A27="","",IF(('General Input'!$D$11+'General Input'!$D$10-1)&gt;'Selling Price'!A27,'Selling Price'!A27+1,""))</f>
        <v/>
      </c>
      <c r="B28" s="39" t="str">
        <f>IF(A28="","",IF('General Input'!$D$40&gt;0,(1+'General Input'!$D$40)^('Selling Price'!A28-'Selling Price'!$A$8)*'Selling Price'!$B$8,(1+'General Input'!$D$39)^('Selling Price'!A28-'Selling Price'!$A$8)*'Selling Price'!$B$8))</f>
        <v/>
      </c>
      <c r="C28" s="72"/>
      <c r="D28" s="39" t="str">
        <f>IF(B28="","",IF(C28&gt;0,C28*'Profitability Measures'!$R$36,B28*'Profitability Measures'!$R$36))</f>
        <v/>
      </c>
      <c r="E28" s="10"/>
      <c r="F28" s="10"/>
      <c r="G28" s="10"/>
      <c r="H28" s="10"/>
      <c r="I28" s="10"/>
      <c r="J28" s="10"/>
      <c r="K28" s="10"/>
      <c r="L28" s="10"/>
      <c r="M28" s="10"/>
      <c r="N28" s="10"/>
      <c r="O28" s="10"/>
      <c r="P28" s="10"/>
      <c r="Q28" s="10"/>
      <c r="R28" s="10"/>
    </row>
    <row r="29" spans="1:18">
      <c r="A29" s="10" t="str">
        <f>IF(A28="","",IF(('General Input'!$D$11+'General Input'!$D$10-1)&gt;'Selling Price'!A28,'Selling Price'!A28+1,""))</f>
        <v/>
      </c>
      <c r="B29" s="39" t="str">
        <f>IF(A29="","",IF('General Input'!$D$40&gt;0,(1+'General Input'!$D$40)^('Selling Price'!A29-'Selling Price'!$A$8)*'Selling Price'!$B$8,(1+'General Input'!$D$39)^('Selling Price'!A29-'Selling Price'!$A$8)*'Selling Price'!$B$8))</f>
        <v/>
      </c>
      <c r="C29" s="72"/>
      <c r="D29" s="39" t="str">
        <f>IF(B29="","",IF(C29&gt;0,C29*'Profitability Measures'!$R$36,B29*'Profitability Measures'!$R$36))</f>
        <v/>
      </c>
      <c r="E29" s="10"/>
      <c r="F29" s="10"/>
      <c r="G29" s="10"/>
      <c r="H29" s="10"/>
      <c r="I29" s="10"/>
      <c r="J29" s="10"/>
      <c r="K29" s="10"/>
      <c r="L29" s="10"/>
      <c r="M29" s="10"/>
      <c r="N29" s="10"/>
      <c r="O29" s="10"/>
      <c r="P29" s="10"/>
      <c r="Q29" s="10"/>
      <c r="R29" s="10"/>
    </row>
    <row r="30" spans="1:18">
      <c r="A30" s="10" t="str">
        <f>IF(A29="","",IF(('General Input'!$D$11+'General Input'!$D$10-1)&gt;'Selling Price'!A29,'Selling Price'!A29+1,""))</f>
        <v/>
      </c>
      <c r="B30" s="39" t="str">
        <f>IF(A30="","",IF('General Input'!$D$40&gt;0,(1+'General Input'!$D$40)^('Selling Price'!A30-'Selling Price'!$A$8)*'Selling Price'!$B$8,(1+'General Input'!$D$39)^('Selling Price'!A30-'Selling Price'!$A$8)*'Selling Price'!$B$8))</f>
        <v/>
      </c>
      <c r="C30" s="72"/>
      <c r="D30" s="39" t="str">
        <f>IF(B30="","",IF(C30&gt;0,C30*'Profitability Measures'!$R$36,B30*'Profitability Measures'!$R$36))</f>
        <v/>
      </c>
      <c r="E30" s="10"/>
      <c r="F30" s="10"/>
      <c r="G30" s="10"/>
      <c r="H30" s="10"/>
      <c r="I30" s="10"/>
      <c r="J30" s="10"/>
      <c r="K30" s="10"/>
      <c r="L30" s="10"/>
      <c r="M30" s="10"/>
      <c r="N30" s="10"/>
      <c r="O30" s="10"/>
      <c r="P30" s="10"/>
      <c r="Q30" s="10"/>
      <c r="R30" s="10"/>
    </row>
    <row r="31" spans="1:18">
      <c r="A31" s="10" t="str">
        <f>IF(A30="","",IF(('General Input'!$D$11+'General Input'!$D$10-1)&gt;'Selling Price'!A30,'Selling Price'!A30+1,""))</f>
        <v/>
      </c>
      <c r="B31" s="39" t="str">
        <f>IF(A31="","",IF('General Input'!$D$40&gt;0,(1+'General Input'!$D$40)^('Selling Price'!A31-'Selling Price'!$A$8)*'Selling Price'!$B$8,(1+'General Input'!$D$39)^('Selling Price'!A31-'Selling Price'!$A$8)*'Selling Price'!$B$8))</f>
        <v/>
      </c>
      <c r="C31" s="72"/>
      <c r="D31" s="39" t="str">
        <f>IF(B31="","",IF(C31&gt;0,C31*'Profitability Measures'!$R$36,B31*'Profitability Measures'!$R$36))</f>
        <v/>
      </c>
      <c r="E31" s="10"/>
      <c r="F31" s="10"/>
      <c r="G31" s="10"/>
      <c r="H31" s="10"/>
      <c r="I31" s="10"/>
      <c r="J31" s="10"/>
      <c r="K31" s="10"/>
      <c r="L31" s="10"/>
      <c r="M31" s="10"/>
      <c r="N31" s="10"/>
      <c r="O31" s="10"/>
      <c r="P31" s="10"/>
      <c r="Q31" s="10"/>
      <c r="R31" s="10"/>
    </row>
    <row r="32" spans="1:18">
      <c r="A32" s="10" t="str">
        <f>IF(A31="","",IF(('General Input'!$D$11+'General Input'!$D$10-1)&gt;'Selling Price'!A31,'Selling Price'!A31+1,""))</f>
        <v/>
      </c>
      <c r="B32" s="39" t="str">
        <f>IF(A32="","",IF('General Input'!$D$40&gt;0,(1+'General Input'!$D$40)^('Selling Price'!A32-'Selling Price'!$A$8)*'Selling Price'!$B$8,(1+'General Input'!$D$39)^('Selling Price'!A32-'Selling Price'!$A$8)*'Selling Price'!$B$8))</f>
        <v/>
      </c>
      <c r="C32" s="72"/>
      <c r="D32" s="39" t="str">
        <f>IF(B32="","",IF(C32&gt;0,C32*'Profitability Measures'!$R$36,B32*'Profitability Measures'!$R$36))</f>
        <v/>
      </c>
      <c r="E32" s="10"/>
      <c r="F32" s="10"/>
      <c r="G32" s="10"/>
      <c r="H32" s="10"/>
      <c r="I32" s="10"/>
      <c r="J32" s="10"/>
      <c r="K32" s="10"/>
      <c r="L32" s="10"/>
      <c r="M32" s="10"/>
      <c r="N32" s="10"/>
      <c r="O32" s="10"/>
      <c r="P32" s="10"/>
      <c r="Q32" s="10"/>
      <c r="R32" s="10"/>
    </row>
    <row r="33" spans="1:18">
      <c r="A33" s="10" t="str">
        <f>IF(A32="","",IF(('General Input'!$D$11+'General Input'!$D$10-1)&gt;'Selling Price'!A32,'Selling Price'!A32+1,""))</f>
        <v/>
      </c>
      <c r="B33" s="39" t="str">
        <f>IF(A33="","",IF('General Input'!$D$40&gt;0,(1+'General Input'!$D$40)^('Selling Price'!A33-'Selling Price'!$A$8)*'Selling Price'!$B$8,(1+'General Input'!$D$39)^('Selling Price'!A33-'Selling Price'!$A$8)*'Selling Price'!$B$8))</f>
        <v/>
      </c>
      <c r="C33" s="72"/>
      <c r="D33" s="39" t="str">
        <f>IF(B33="","",IF(C33&gt;0,C33*'Profitability Measures'!$R$36,B33*'Profitability Measures'!$R$36))</f>
        <v/>
      </c>
      <c r="E33" s="10"/>
      <c r="F33" s="10"/>
      <c r="G33" s="10"/>
      <c r="H33" s="10"/>
      <c r="I33" s="10"/>
      <c r="J33" s="10"/>
      <c r="K33" s="10"/>
      <c r="L33" s="10"/>
      <c r="M33" s="10"/>
      <c r="N33" s="10"/>
      <c r="O33" s="10"/>
      <c r="P33" s="10"/>
      <c r="Q33" s="10"/>
      <c r="R33" s="10"/>
    </row>
    <row r="34" spans="1:18">
      <c r="A34" s="10" t="str">
        <f>IF(A33="","",IF(('General Input'!$D$11+'General Input'!$D$10-1)&gt;'Selling Price'!A33,'Selling Price'!A33+1,""))</f>
        <v/>
      </c>
      <c r="B34" s="39" t="str">
        <f>IF(A34="","",IF('General Input'!$D$40&gt;0,(1+'General Input'!$D$40)^('Selling Price'!A34-'Selling Price'!$A$8)*'Selling Price'!$B$8,(1+'General Input'!$D$39)^('Selling Price'!A34-'Selling Price'!$A$8)*'Selling Price'!$B$8))</f>
        <v/>
      </c>
      <c r="C34" s="72"/>
      <c r="D34" s="39" t="str">
        <f>IF(B34="","",IF(C34&gt;0,C34*'Profitability Measures'!$R$36,B34*'Profitability Measures'!$R$36))</f>
        <v/>
      </c>
      <c r="E34" s="10"/>
      <c r="F34" s="10"/>
      <c r="G34" s="10"/>
      <c r="H34" s="10"/>
      <c r="I34" s="10"/>
      <c r="J34" s="10"/>
      <c r="K34" s="10"/>
      <c r="L34" s="10"/>
      <c r="M34" s="10"/>
      <c r="N34" s="10"/>
      <c r="O34" s="10"/>
      <c r="P34" s="10"/>
      <c r="Q34" s="10"/>
      <c r="R34" s="10"/>
    </row>
    <row r="35" spans="1:18">
      <c r="A35" s="10" t="str">
        <f>IF(A34="","",IF(('General Input'!$D$11+'General Input'!$D$10-1)&gt;'Selling Price'!A34,'Selling Price'!A34+1,""))</f>
        <v/>
      </c>
      <c r="B35" s="39" t="str">
        <f>IF(A35="","",IF('General Input'!$D$40&gt;0,(1+'General Input'!$D$40)^('Selling Price'!A35-'Selling Price'!$A$8)*'Selling Price'!$B$8,(1+'General Input'!$D$39)^('Selling Price'!A35-'Selling Price'!$A$8)*'Selling Price'!$B$8))</f>
        <v/>
      </c>
      <c r="C35" s="72"/>
      <c r="D35" s="39" t="str">
        <f>IF(B35="","",IF(C35&gt;0,C35*'Profitability Measures'!$R$36,B35*'Profitability Measures'!$R$36))</f>
        <v/>
      </c>
      <c r="E35" s="10"/>
      <c r="F35" s="10"/>
      <c r="G35" s="10"/>
      <c r="H35" s="10"/>
      <c r="I35" s="10"/>
      <c r="J35" s="10"/>
      <c r="K35" s="10"/>
      <c r="L35" s="10"/>
      <c r="M35" s="10"/>
      <c r="N35" s="10"/>
      <c r="O35" s="10"/>
      <c r="P35" s="10"/>
      <c r="Q35" s="10"/>
      <c r="R35" s="10"/>
    </row>
    <row r="36" spans="1:18">
      <c r="A36" s="10" t="str">
        <f>IF(A35="","",IF(('General Input'!$D$11+'General Input'!$D$10-1)&gt;'Selling Price'!A35,'Selling Price'!A35+1,""))</f>
        <v/>
      </c>
      <c r="B36" s="39" t="str">
        <f>IF(A36="","",IF('General Input'!$D$40&gt;0,(1+'General Input'!$D$40)^('Selling Price'!A36-'Selling Price'!$A$8)*'Selling Price'!$B$8,(1+'General Input'!$D$39)^('Selling Price'!A36-'Selling Price'!$A$8)*'Selling Price'!$B$8))</f>
        <v/>
      </c>
      <c r="C36" s="72"/>
      <c r="D36" s="39" t="str">
        <f>IF(B36="","",IF(C36&gt;0,C36*'Profitability Measures'!$R$36,B36*'Profitability Measures'!$R$36))</f>
        <v/>
      </c>
    </row>
    <row r="37" spans="1:18">
      <c r="A37" s="10" t="str">
        <f>IF(A36="","",IF(('General Input'!$D$11+'General Input'!$D$10-1)&gt;'Selling Price'!A36,'Selling Price'!A36+1,""))</f>
        <v/>
      </c>
      <c r="B37" s="39" t="str">
        <f>IF(A37="","",IF('General Input'!$D$40&gt;0,(1+'General Input'!$D$40)^('Selling Price'!A37-'Selling Price'!$A$8)*'Selling Price'!$B$8,(1+'General Input'!$D$39)^('Selling Price'!A37-'Selling Price'!$A$8)*'Selling Price'!$B$8))</f>
        <v/>
      </c>
      <c r="C37" s="72"/>
      <c r="D37" s="39" t="str">
        <f>IF(B37="","",IF(C37&gt;0,C37*'Profitability Measures'!$R$36,B37*'Profitability Measures'!$R$36))</f>
        <v/>
      </c>
    </row>
    <row r="38" spans="1:18">
      <c r="A38" s="10" t="str">
        <f>IF(A37="","",IF(('General Input'!$D$11+'General Input'!$D$10-1)&gt;'Selling Price'!A37,'Selling Price'!A37+1,""))</f>
        <v/>
      </c>
      <c r="B38" s="39" t="str">
        <f>IF(A38="","",IF('General Input'!$D$40&gt;0,(1+'General Input'!$D$40)^('Selling Price'!A38-'Selling Price'!$A$8)*'Selling Price'!$B$8,(1+'General Input'!$D$39)^('Selling Price'!A38-'Selling Price'!$A$8)*'Selling Price'!$B$8))</f>
        <v/>
      </c>
      <c r="C38" s="72"/>
      <c r="D38" s="39" t="str">
        <f>IF(B38="","",IF(C38&gt;0,C38*'Profitability Measures'!$R$36,B38*'Profitability Measures'!$R$36))</f>
        <v/>
      </c>
    </row>
    <row r="39" spans="1:18">
      <c r="A39" s="10" t="str">
        <f>IF(A38="","",IF(('General Input'!$D$11+'General Input'!$D$10-1)&gt;'Selling Price'!A38,'Selling Price'!A38+1,""))</f>
        <v/>
      </c>
      <c r="B39" s="39" t="str">
        <f>IF(A39="","",IF('General Input'!$D$40&gt;0,(1+'General Input'!$D$40)^('Selling Price'!A39-'Selling Price'!$A$8)*'Selling Price'!$B$8,(1+'General Input'!$D$39)^('Selling Price'!A39-'Selling Price'!$A$8)*'Selling Price'!$B$8))</f>
        <v/>
      </c>
      <c r="C39" s="72"/>
      <c r="D39" s="39" t="str">
        <f>IF(B39="","",IF(C39&gt;0,C39*'Profitability Measures'!$R$36,B39*'Profitability Measures'!$R$36))</f>
        <v/>
      </c>
    </row>
    <row r="40" spans="1:18">
      <c r="A40" s="10" t="str">
        <f>IF(A39="","",IF(('General Input'!$D$11+'General Input'!$D$10-1)&gt;'Selling Price'!A39,'Selling Price'!A39+1,""))</f>
        <v/>
      </c>
      <c r="B40" s="39" t="str">
        <f>IF(A40="","",IF('General Input'!$D$40&gt;0,(1+'General Input'!$D$40)^('Selling Price'!A40-'Selling Price'!$A$8)*'Selling Price'!$B$8,(1+'General Input'!$D$39)^('Selling Price'!A40-'Selling Price'!$A$8)*'Selling Price'!$B$8))</f>
        <v/>
      </c>
      <c r="C40" s="72"/>
      <c r="D40" s="39" t="str">
        <f>IF(B40="","",IF(C40&gt;0,C40*'Profitability Measures'!$R$36,B40*'Profitability Measures'!$R$36))</f>
        <v/>
      </c>
    </row>
    <row r="41" spans="1:18">
      <c r="B41" s="39" t="str">
        <f>IF(A41="","",IF('General Input'!$D$40&gt;0,(1+'General Input'!$D$40)^('Selling Price'!A41-'Selling Price'!$A$8)*'Selling Price'!$B$8,(1+'General Input'!$D$39)^('Selling Price'!A41-'Selling Price'!$A$8)*'Selling Price'!$B$8))</f>
        <v/>
      </c>
      <c r="C41" s="72"/>
      <c r="D41" s="39" t="str">
        <f>IF(B41="","",IF(C41&gt;0,C41*'Profitability Measures'!$R$36,B41*'Profitability Measures'!$R$36))</f>
        <v/>
      </c>
    </row>
    <row r="42" spans="1:18">
      <c r="B42" s="39" t="str">
        <f>IF(A42="","",IF('General Input'!$D$40&gt;0,(1+'General Input'!$D$40)^('Selling Price'!A42-'Selling Price'!$A$8)*'Selling Price'!$B$8,(1+'General Input'!$D$39)^('Selling Price'!A42-'Selling Price'!$A$8)*'Selling Price'!$B$8))</f>
        <v/>
      </c>
      <c r="C42" s="72"/>
      <c r="D42" s="39" t="str">
        <f>IF(B42="","",IF(C42&gt;0,C42*'Profitability Measures'!$R$36,B42*'Profitability Measures'!$R$36))</f>
        <v/>
      </c>
    </row>
    <row r="43" spans="1:18">
      <c r="B43" s="39" t="str">
        <f>IF(A43="","",IF('General Input'!$D$40&gt;0,(1+'General Input'!$D$40)^('Selling Price'!A43-'Selling Price'!$A$8)*'Selling Price'!$B$8,(1+'General Input'!$D$39)^('Selling Price'!A43-'Selling Price'!$A$8)*'Selling Price'!$B$8))</f>
        <v/>
      </c>
      <c r="C43" s="72"/>
      <c r="D43" s="39" t="str">
        <f>IF(B43="","",IF(C43&gt;0,C43*'Profitability Measures'!$R$36,B43*'Profitability Measures'!$R$36))</f>
        <v/>
      </c>
    </row>
    <row r="44" spans="1:18">
      <c r="B44" s="39" t="str">
        <f>IF(A44="","",IF('General Input'!$D$40&gt;0,(1+'General Input'!$D$40)^('Selling Price'!A44-'Selling Price'!$A$8)*'Selling Price'!$B$8,(1+'General Input'!$D$39)^('Selling Price'!A44-'Selling Price'!$A$8)*'Selling Price'!$B$8))</f>
        <v/>
      </c>
      <c r="C44" s="72"/>
      <c r="D44" s="39" t="str">
        <f>IF(B44="","",IF(C44&gt;0,C44*'Profitability Measures'!$R$36,B44*'Profitability Measures'!$R$36))</f>
        <v/>
      </c>
    </row>
    <row r="45" spans="1:18">
      <c r="B45" s="39" t="str">
        <f>IF(A45="","",IF('General Input'!$D$40&gt;0,(1+'General Input'!$D$40)^('Selling Price'!A45-'Selling Price'!$A$8)*'Selling Price'!$B$8,(1+'General Input'!$D$39)^('Selling Price'!A45-'Selling Price'!$A$8)*'Selling Price'!$B$8))</f>
        <v/>
      </c>
      <c r="C45" s="72"/>
      <c r="D45" s="39" t="str">
        <f>IF(B45="","",IF(C45&gt;0,C45*'Profitability Measures'!$R$36,B45*'Profitability Measures'!$R$36))</f>
        <v/>
      </c>
    </row>
    <row r="46" spans="1:18">
      <c r="B46" s="39" t="str">
        <f>IF(A46="","",IF('General Input'!$D$40&gt;0,(1+'General Input'!$D$40)^('Selling Price'!A46-'Selling Price'!$A$8)*'Selling Price'!$B$8,(1+'General Input'!$D$39)^('Selling Price'!A46-'Selling Price'!$A$8)*'Selling Price'!$B$8))</f>
        <v/>
      </c>
      <c r="C46" s="72"/>
      <c r="D46" s="39" t="str">
        <f>IF(B46="","",IF(C46&gt;0,C46*'Profitability Measures'!$R$36,B46*'Profitability Measures'!$R$36))</f>
        <v/>
      </c>
    </row>
    <row r="47" spans="1:18">
      <c r="B47" s="39" t="str">
        <f>IF(A47="","",IF('General Input'!$D$40&gt;0,(1+'General Input'!$D$40)^('Selling Price'!A47-'Selling Price'!$A$8)*'Selling Price'!$B$8,(1+'General Input'!$D$39)^('Selling Price'!A47-'Selling Price'!$A$8)*'Selling Price'!$B$8))</f>
        <v/>
      </c>
      <c r="C47" s="72"/>
      <c r="D47" s="39" t="str">
        <f>IF(B47="","",IF(C47&gt;0,C47*'Profitability Measures'!$R$36,B47*'Profitability Measures'!$R$36))</f>
        <v/>
      </c>
    </row>
    <row r="48" spans="1:18">
      <c r="B48" s="39" t="str">
        <f>IF(A48="","",IF('General Input'!$D$40&gt;0,(1+'General Input'!$D$40)^('Selling Price'!A48-'Selling Price'!$A$8)*'Selling Price'!$B$8,(1+'General Input'!$D$39)^('Selling Price'!A48-'Selling Price'!$A$8)*'Selling Price'!$B$8))</f>
        <v/>
      </c>
      <c r="C48" s="72"/>
      <c r="D48" s="39" t="str">
        <f>IF(B48="","",IF(C48&gt;0,C48*'Profitability Measures'!$R$36,B48*'Profitability Measures'!$R$36))</f>
        <v/>
      </c>
    </row>
    <row r="49" spans="2:4">
      <c r="B49" s="39" t="str">
        <f>IF(A49="","",IF('General Input'!$D$40&gt;0,(1+'General Input'!$D$40)^('Selling Price'!A49-'Selling Price'!$A$8)*'Selling Price'!$B$8,(1+'General Input'!$D$39)^('Selling Price'!A49-'Selling Price'!$A$8)*'Selling Price'!$B$8))</f>
        <v/>
      </c>
      <c r="C49" s="72"/>
      <c r="D49" s="39" t="str">
        <f>IF(B49="","",IF(C49&gt;0,C49*'Profitability Measures'!$R$36,B49*'Profitability Measures'!$R$36))</f>
        <v/>
      </c>
    </row>
    <row r="50" spans="2:4">
      <c r="B50" s="39" t="str">
        <f>IF(A50="","",IF('General Input'!$D$40&gt;0,(1+'General Input'!$D$40)^('Selling Price'!A50-'Selling Price'!$A$8)*'Selling Price'!$B$8,(1+'General Input'!$D$39)^('Selling Price'!A50-'Selling Price'!$A$8)*'Selling Price'!$B$8))</f>
        <v/>
      </c>
      <c r="C50" s="72"/>
      <c r="D50" s="39"/>
    </row>
    <row r="51" spans="2:4">
      <c r="B51" s="39" t="str">
        <f>IF(A51="","",IF('General Input'!$D$40&gt;0,(1+'General Input'!$D$40)^('Selling Price'!A51-'Selling Price'!$A$8)*'Selling Price'!$B$8,(1+'General Input'!$D$39)^('Selling Price'!A51-'Selling Price'!$A$8)*'Selling Price'!$B$8))</f>
        <v/>
      </c>
      <c r="C51" s="72"/>
      <c r="D51" s="39"/>
    </row>
    <row r="52" spans="2:4">
      <c r="B52" s="39" t="str">
        <f>IF(A52="","",IF('General Input'!$D$40&gt;0,(1+'General Input'!$D$40)^('Selling Price'!A52-'Selling Price'!$A$8)*'Selling Price'!$B$8,(1+'General Input'!$D$39)^('Selling Price'!A52-'Selling Price'!$A$8)*'Selling Price'!$B$8))</f>
        <v/>
      </c>
      <c r="C52" s="72"/>
      <c r="D52" s="39"/>
    </row>
    <row r="53" spans="2:4">
      <c r="B53" s="39" t="str">
        <f>IF(A53="","",IF('General Input'!$D$40&gt;0,(1+'General Input'!$D$40)^('Selling Price'!A53-'Selling Price'!$A$8)*'Selling Price'!$B$8,(1+'General Input'!$D$39)^('Selling Price'!A53-'Selling Price'!$A$8)*'Selling Price'!$B$8))</f>
        <v/>
      </c>
      <c r="C53" s="72"/>
      <c r="D53" s="39"/>
    </row>
    <row r="54" spans="2:4">
      <c r="B54" s="39" t="str">
        <f>IF(A54="","",IF('General Input'!$D$40&gt;0,(1+'General Input'!$D$40)^('Selling Price'!A54-'Selling Price'!$A$8)*'Selling Price'!$B$8,(1+'General Input'!$D$39)^('Selling Price'!A54-'Selling Price'!$A$8)*'Selling Price'!$B$8))</f>
        <v/>
      </c>
      <c r="C54" s="72"/>
      <c r="D54" s="39"/>
    </row>
    <row r="55" spans="2:4">
      <c r="B55" s="39" t="str">
        <f>IF(A55="","",IF('General Input'!$D$40&gt;0,(1+'General Input'!$D$40)^('Selling Price'!A55-'Selling Price'!$A$8)*'Selling Price'!$B$8,(1+'General Input'!$D$39)^('Selling Price'!A55-'Selling Price'!$A$8)*'Selling Price'!$B$8))</f>
        <v/>
      </c>
      <c r="C55" s="39"/>
      <c r="D55" s="39"/>
    </row>
    <row r="56" spans="2:4">
      <c r="B56" s="39" t="str">
        <f>IF(A56="","",IF('General Input'!$D$40&gt;0,(1+'General Input'!$D$40)^('Selling Price'!A56-'Selling Price'!$A$8)*'Selling Price'!$B$8,(1+'General Input'!$D$39)^('Selling Price'!A56-'Selling Price'!$A$8)*'Selling Price'!$B$8))</f>
        <v/>
      </c>
      <c r="C56" s="39"/>
      <c r="D56" s="39"/>
    </row>
    <row r="57" spans="2:4">
      <c r="B57" s="39" t="str">
        <f>IF(A57="","",IF('General Input'!$D$40&gt;0,(1+'General Input'!$D$40)^('Selling Price'!A57-'Selling Price'!$A$8)*'Selling Price'!$B$8,(1+'General Input'!$D$39)^('Selling Price'!A57-'Selling Price'!$A$8)*'Selling Price'!$B$8))</f>
        <v/>
      </c>
      <c r="C57" s="39"/>
      <c r="D57" s="39"/>
    </row>
    <row r="58" spans="2:4">
      <c r="B58" s="39" t="str">
        <f>IF(A58="","",IF('General Input'!$D$40&gt;0,(1+'General Input'!$D$40)^('Selling Price'!A58-'Selling Price'!$A$8)*'Selling Price'!$B$8,(1+'General Input'!$D$39)^('Selling Price'!A58-'Selling Price'!$A$8)*'Selling Price'!$B$8))</f>
        <v/>
      </c>
      <c r="C58" s="39"/>
      <c r="D58" s="39"/>
    </row>
    <row r="59" spans="2:4">
      <c r="B59" s="39" t="str">
        <f>IF(A59="","",IF('General Input'!$D$40&gt;0,(1+'General Input'!$D$40)^('Selling Price'!A59-'Selling Price'!$A$8)*'Selling Price'!$B$8,(1+'General Input'!$D$39)^('Selling Price'!A59-'Selling Price'!$A$8)*'Selling Price'!$B$8))</f>
        <v/>
      </c>
      <c r="C59" s="39"/>
      <c r="D59" s="39"/>
    </row>
    <row r="60" spans="2:4">
      <c r="B60" s="39" t="str">
        <f>IF(A60="","",IF('General Input'!$D$40&gt;0,(1+'General Input'!$D$40)^('Selling Price'!A60-'Selling Price'!$A$8)*'Selling Price'!$B$8,(1+'General Input'!$D$39)^('Selling Price'!A60-'Selling Price'!$A$8)*'Selling Price'!$B$8))</f>
        <v/>
      </c>
    </row>
    <row r="61" spans="2:4">
      <c r="B61" s="39" t="str">
        <f>IF(A61="","",IF('General Input'!$D$40&gt;0,(1+'General Input'!$D$40)^('Selling Price'!A61-'Selling Price'!$A$8)*'Selling Price'!$B$8,(1+'General Input'!$D$39)^('Selling Price'!A61-'Selling Price'!$A$8)*'Selling Price'!$B$8))</f>
        <v/>
      </c>
    </row>
    <row r="62" spans="2:4">
      <c r="B62" s="39" t="str">
        <f>IF(A62="","",IF('General Input'!$D$40&gt;0,(1+'General Input'!$D$40)^('Selling Price'!A62-'Selling Price'!$A$8)*'Selling Price'!$B$8,(1+'General Input'!$D$39)^('Selling Price'!A62-'Selling Price'!$A$8)*'Selling Price'!$B$8))</f>
        <v/>
      </c>
    </row>
  </sheetData>
  <sheetProtection algorithmName="SHA-512" hashValue="MCVRfDDYcX+SVsyisBG9sJcBuCimVd8C1D3CijUfYJf/TpWmmyqNELlU52uGLEOApEx11h4j5DBeSYNRjj9lEw==" saltValue="aZoYsb/6SJox5EQGJxiWJw==" spinCount="100000" sheet="1" objects="1" scenarios="1"/>
  <pageMargins left="0.7" right="0.7" top="0.75" bottom="0.75" header="0.3" footer="0.3"/>
  <pageSetup orientation="portrait" r:id="rId1"/>
  <headerFooter>
    <oddHeader>&amp;C&amp;"Calibri"&amp;10&amp;K000000 Public&amp;1#_x000D_</oddHeader>
    <oddFooter>&amp;C_x000D_&amp;1#&amp;"Calibri"&amp;10&amp;K000000 Public</oddFooter>
  </headerFooter>
  <ignoredErrors>
    <ignoredError sqref="A8"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Introduction</vt:lpstr>
      <vt:lpstr>Input Summary</vt:lpstr>
      <vt:lpstr>Cost Summary</vt:lpstr>
      <vt:lpstr>Detailed Cost Sheet</vt:lpstr>
      <vt:lpstr>Cash Flows</vt:lpstr>
      <vt:lpstr>Profitability Measures</vt:lpstr>
      <vt:lpstr>Sensitivity</vt:lpstr>
      <vt:lpstr>General Input</vt:lpstr>
      <vt:lpstr>Selling Price</vt:lpstr>
      <vt:lpstr>Var Costs &amp; WC</vt:lpstr>
      <vt:lpstr>Total Permanent Investment</vt:lpstr>
      <vt:lpstr>Equipment Costs</vt:lpstr>
      <vt:lpstr>Fixed Costs</vt:lpstr>
      <vt:lpstr>User Comments &amp; Documentation</vt:lpstr>
      <vt:lpstr>Revision History</vt:lpstr>
    </vt:vector>
  </TitlesOfParts>
  <Company>University of Pennsylvania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cets4</dc:creator>
  <cp:lastModifiedBy>Wright, Hannah</cp:lastModifiedBy>
  <cp:lastPrinted>2024-03-01T21:11:45Z</cp:lastPrinted>
  <dcterms:created xsi:type="dcterms:W3CDTF">2009-03-24T19:25:53Z</dcterms:created>
  <dcterms:modified xsi:type="dcterms:W3CDTF">2024-06-18T19:00:39Z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e1621af-373e-4f6e-a55a-4aefee4e798d_Enabled">
    <vt:lpwstr>true</vt:lpwstr>
  </property>
  <property fmtid="{D5CDD505-2E9C-101B-9397-08002B2CF9AE}" pid="3" name="MSIP_Label_ae1621af-373e-4f6e-a55a-4aefee4e798d_SetDate">
    <vt:lpwstr>2023-12-05T17:58:39Z</vt:lpwstr>
  </property>
  <property fmtid="{D5CDD505-2E9C-101B-9397-08002B2CF9AE}" pid="4" name="MSIP_Label_ae1621af-373e-4f6e-a55a-4aefee4e798d_Method">
    <vt:lpwstr>Privileged</vt:lpwstr>
  </property>
  <property fmtid="{D5CDD505-2E9C-101B-9397-08002B2CF9AE}" pid="5" name="MSIP_Label_ae1621af-373e-4f6e-a55a-4aefee4e798d_Name">
    <vt:lpwstr>Public</vt:lpwstr>
  </property>
  <property fmtid="{D5CDD505-2E9C-101B-9397-08002B2CF9AE}" pid="6" name="MSIP_Label_ae1621af-373e-4f6e-a55a-4aefee4e798d_SiteId">
    <vt:lpwstr>a2a9bf31-fc44-425c-a6d2-3ae9379573ea</vt:lpwstr>
  </property>
  <property fmtid="{D5CDD505-2E9C-101B-9397-08002B2CF9AE}" pid="7" name="MSIP_Label_ae1621af-373e-4f6e-a55a-4aefee4e798d_ActionId">
    <vt:lpwstr>30a35c54-4b74-47b0-9e94-49d0fc9cd245</vt:lpwstr>
  </property>
  <property fmtid="{D5CDD505-2E9C-101B-9397-08002B2CF9AE}" pid="8" name="MSIP_Label_ae1621af-373e-4f6e-a55a-4aefee4e798d_ContentBits">
    <vt:lpwstr>3</vt:lpwstr>
  </property>
</Properties>
</file>