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3"/>
  <workbookPr filterPrivacy="1" defaultThemeVersion="123820"/>
  <xr:revisionPtr revIDLastSave="0" documentId="13_ncr:1_{59A77267-7A51-EE4D-998B-BDE9B88C491E}" xr6:coauthVersionLast="45" xr6:coauthVersionMax="45" xr10:uidLastSave="{00000000-0000-0000-0000-000000000000}"/>
  <bookViews>
    <workbookView xWindow="0" yWindow="460" windowWidth="28320" windowHeight="16100" activeTab="3" xr2:uid="{00000000-000D-0000-FFFF-FFFF00000000}"/>
  </bookViews>
  <sheets>
    <sheet name="2017 Life Table" sheetId="1" state="hidden" r:id="rId1"/>
    <sheet name="Opioid Mortality - WONDER" sheetId="2" state="hidden" r:id="rId2"/>
    <sheet name="Modified Life Table" sheetId="3" state="hidden" r:id="rId3"/>
    <sheet name="Modified Life Table Trunc. 85+" sheetId="4" r:id="rId4"/>
    <sheet name="Cohort Method (Elliot's paper) " sheetId="6" state="hidden" r:id="rId5"/>
    <sheet name="Change in Expectancy by Age" sheetId="5" r:id="rId6"/>
  </sheets>
  <externalReferences>
    <externalReference r:id="rId7"/>
  </externalReference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Opioid_Related_Mortality_by_Age_Year_2017_final" localSheetId="1">'Opioid Mortality - WONDER'!$A$1:$F$158</definedName>
    <definedName name="_xlnm.Print_Titles" localSheetId="0">'2017 Life Table'!$1:$3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5" i="4" l="1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4" i="4"/>
  <c r="L17" i="2" l="1"/>
  <c r="K17" i="2"/>
  <c r="L16" i="2"/>
  <c r="K16" i="2"/>
  <c r="L15" i="2"/>
  <c r="K15" i="2"/>
  <c r="L12" i="2"/>
  <c r="L5" i="2"/>
  <c r="L6" i="2"/>
  <c r="L7" i="2"/>
  <c r="L8" i="2"/>
  <c r="L9" i="2"/>
  <c r="L10" i="2"/>
  <c r="L11" i="2"/>
  <c r="L4" i="2"/>
  <c r="K12" i="2"/>
  <c r="K11" i="2"/>
  <c r="K10" i="2"/>
  <c r="K9" i="2"/>
  <c r="K8" i="2"/>
  <c r="K7" i="2"/>
  <c r="K6" i="2"/>
  <c r="K5" i="2"/>
  <c r="K4" i="2"/>
  <c r="N3" i="5" l="1"/>
  <c r="H2" i="2"/>
  <c r="C4" i="4"/>
  <c r="D4" i="4" s="1"/>
  <c r="E4" i="4" s="1"/>
  <c r="F5" i="4" s="1"/>
  <c r="F6" i="4" s="1"/>
  <c r="H3" i="2"/>
  <c r="C5" i="4"/>
  <c r="D5" i="4"/>
  <c r="E5" i="4"/>
  <c r="H4" i="2"/>
  <c r="C6" i="4"/>
  <c r="D6" i="4" s="1"/>
  <c r="E6" i="4"/>
  <c r="H5" i="2"/>
  <c r="C7" i="4"/>
  <c r="D7" i="4" s="1"/>
  <c r="E7" i="4" s="1"/>
  <c r="H6" i="2"/>
  <c r="C8" i="4"/>
  <c r="D8" i="4"/>
  <c r="E8" i="4"/>
  <c r="H7" i="2"/>
  <c r="C9" i="4"/>
  <c r="D9" i="4"/>
  <c r="E9" i="4" s="1"/>
  <c r="H8" i="2"/>
  <c r="C10" i="4"/>
  <c r="D10" i="4" s="1"/>
  <c r="E10" i="4"/>
  <c r="H9" i="2"/>
  <c r="C11" i="4"/>
  <c r="D11" i="4"/>
  <c r="E11" i="4" s="1"/>
  <c r="H10" i="2"/>
  <c r="C12" i="4"/>
  <c r="D12" i="4" s="1"/>
  <c r="E12" i="4" s="1"/>
  <c r="H11" i="2"/>
  <c r="C13" i="4"/>
  <c r="D13" i="4"/>
  <c r="E13" i="4" s="1"/>
  <c r="H12" i="2"/>
  <c r="C14" i="4"/>
  <c r="D14" i="4" s="1"/>
  <c r="E14" i="4" s="1"/>
  <c r="H13" i="2"/>
  <c r="C15" i="4"/>
  <c r="D15" i="4"/>
  <c r="E15" i="4" s="1"/>
  <c r="H14" i="2"/>
  <c r="C16" i="4"/>
  <c r="D16" i="4" s="1"/>
  <c r="E16" i="4" s="1"/>
  <c r="H15" i="2"/>
  <c r="C17" i="4"/>
  <c r="D17" i="4"/>
  <c r="E17" i="4"/>
  <c r="H16" i="2"/>
  <c r="C18" i="4"/>
  <c r="D18" i="4" s="1"/>
  <c r="E18" i="4" s="1"/>
  <c r="H17" i="2"/>
  <c r="C19" i="4"/>
  <c r="D19" i="4" s="1"/>
  <c r="E19" i="4" s="1"/>
  <c r="H18" i="2"/>
  <c r="C20" i="4"/>
  <c r="D20" i="4"/>
  <c r="E20" i="4" s="1"/>
  <c r="G19" i="2"/>
  <c r="H19" i="2"/>
  <c r="C21" i="4"/>
  <c r="D21" i="4"/>
  <c r="E21" i="4"/>
  <c r="G20" i="2"/>
  <c r="H20" i="2"/>
  <c r="C22" i="4"/>
  <c r="D22" i="4" s="1"/>
  <c r="E22" i="4" s="1"/>
  <c r="G21" i="2"/>
  <c r="H21" i="2"/>
  <c r="C23" i="4"/>
  <c r="D23" i="4" s="1"/>
  <c r="E23" i="4" s="1"/>
  <c r="G22" i="2"/>
  <c r="H22" i="2"/>
  <c r="C24" i="4"/>
  <c r="D24" i="4"/>
  <c r="E24" i="4" s="1"/>
  <c r="G23" i="2"/>
  <c r="H23" i="2"/>
  <c r="C25" i="4"/>
  <c r="D25" i="4"/>
  <c r="E25" i="4"/>
  <c r="G24" i="2"/>
  <c r="H24" i="2"/>
  <c r="C26" i="4"/>
  <c r="D26" i="4" s="1"/>
  <c r="E26" i="4" s="1"/>
  <c r="G25" i="2"/>
  <c r="H25" i="2"/>
  <c r="C27" i="4"/>
  <c r="D27" i="4" s="1"/>
  <c r="E27" i="4" s="1"/>
  <c r="G26" i="2"/>
  <c r="H26" i="2"/>
  <c r="C28" i="4"/>
  <c r="D28" i="4"/>
  <c r="E28" i="4" s="1"/>
  <c r="G27" i="2"/>
  <c r="H27" i="2"/>
  <c r="C29" i="4"/>
  <c r="D29" i="4"/>
  <c r="E29" i="4"/>
  <c r="G28" i="2"/>
  <c r="H28" i="2"/>
  <c r="C30" i="4"/>
  <c r="D30" i="4" s="1"/>
  <c r="E30" i="4" s="1"/>
  <c r="G29" i="2"/>
  <c r="H29" i="2"/>
  <c r="C31" i="4"/>
  <c r="D31" i="4" s="1"/>
  <c r="E31" i="4" s="1"/>
  <c r="G30" i="2"/>
  <c r="H30" i="2"/>
  <c r="C32" i="4"/>
  <c r="D32" i="4"/>
  <c r="E32" i="4" s="1"/>
  <c r="G31" i="2"/>
  <c r="H31" i="2"/>
  <c r="C33" i="4"/>
  <c r="D33" i="4"/>
  <c r="E33" i="4"/>
  <c r="G32" i="2"/>
  <c r="H32" i="2"/>
  <c r="C34" i="4"/>
  <c r="D34" i="4" s="1"/>
  <c r="E34" i="4" s="1"/>
  <c r="G33" i="2"/>
  <c r="H33" i="2"/>
  <c r="C35" i="4"/>
  <c r="D35" i="4" s="1"/>
  <c r="E35" i="4" s="1"/>
  <c r="G34" i="2"/>
  <c r="H34" i="2"/>
  <c r="C36" i="4"/>
  <c r="D36" i="4"/>
  <c r="E36" i="4" s="1"/>
  <c r="G35" i="2"/>
  <c r="H35" i="2"/>
  <c r="C37" i="4"/>
  <c r="D37" i="4"/>
  <c r="E37" i="4"/>
  <c r="G36" i="2"/>
  <c r="H36" i="2"/>
  <c r="C38" i="4"/>
  <c r="D38" i="4" s="1"/>
  <c r="E38" i="4" s="1"/>
  <c r="G37" i="2"/>
  <c r="H37" i="2"/>
  <c r="C39" i="4"/>
  <c r="D39" i="4" s="1"/>
  <c r="E39" i="4" s="1"/>
  <c r="G38" i="2"/>
  <c r="H38" i="2"/>
  <c r="C40" i="4"/>
  <c r="D40" i="4"/>
  <c r="E40" i="4" s="1"/>
  <c r="G39" i="2"/>
  <c r="H39" i="2"/>
  <c r="C41" i="4"/>
  <c r="D41" i="4"/>
  <c r="E41" i="4"/>
  <c r="G40" i="2"/>
  <c r="H40" i="2"/>
  <c r="C42" i="4"/>
  <c r="D42" i="4" s="1"/>
  <c r="E42" i="4" s="1"/>
  <c r="G41" i="2"/>
  <c r="H41" i="2"/>
  <c r="C43" i="4"/>
  <c r="D43" i="4" s="1"/>
  <c r="E43" i="4" s="1"/>
  <c r="G42" i="2"/>
  <c r="H42" i="2"/>
  <c r="C44" i="4"/>
  <c r="D44" i="4"/>
  <c r="E44" i="4" s="1"/>
  <c r="G43" i="2"/>
  <c r="H43" i="2"/>
  <c r="C45" i="4"/>
  <c r="D45" i="4"/>
  <c r="E45" i="4"/>
  <c r="G44" i="2"/>
  <c r="H44" i="2"/>
  <c r="C46" i="4"/>
  <c r="D46" i="4" s="1"/>
  <c r="E46" i="4" s="1"/>
  <c r="G45" i="2"/>
  <c r="H45" i="2"/>
  <c r="C47" i="4"/>
  <c r="D47" i="4" s="1"/>
  <c r="E47" i="4" s="1"/>
  <c r="G46" i="2"/>
  <c r="H46" i="2"/>
  <c r="C48" i="4"/>
  <c r="D48" i="4"/>
  <c r="E48" i="4" s="1"/>
  <c r="G47" i="2"/>
  <c r="H47" i="2"/>
  <c r="C49" i="4"/>
  <c r="D49" i="4"/>
  <c r="E49" i="4"/>
  <c r="G48" i="2"/>
  <c r="H48" i="2"/>
  <c r="C50" i="4"/>
  <c r="D50" i="4" s="1"/>
  <c r="E50" i="4" s="1"/>
  <c r="G49" i="2"/>
  <c r="H49" i="2"/>
  <c r="C51" i="4"/>
  <c r="D51" i="4" s="1"/>
  <c r="E51" i="4" s="1"/>
  <c r="G50" i="2"/>
  <c r="H50" i="2"/>
  <c r="C52" i="4"/>
  <c r="D52" i="4"/>
  <c r="E52" i="4" s="1"/>
  <c r="G51" i="2"/>
  <c r="H51" i="2"/>
  <c r="C53" i="4"/>
  <c r="D53" i="4"/>
  <c r="E53" i="4"/>
  <c r="G52" i="2"/>
  <c r="H52" i="2"/>
  <c r="C54" i="4"/>
  <c r="D54" i="4" s="1"/>
  <c r="E54" i="4" s="1"/>
  <c r="G53" i="2"/>
  <c r="H53" i="2"/>
  <c r="C55" i="4"/>
  <c r="D55" i="4" s="1"/>
  <c r="E55" i="4" s="1"/>
  <c r="G54" i="2"/>
  <c r="H54" i="2"/>
  <c r="C56" i="4"/>
  <c r="D56" i="4"/>
  <c r="E56" i="4" s="1"/>
  <c r="G55" i="2"/>
  <c r="H55" i="2"/>
  <c r="C57" i="4"/>
  <c r="D57" i="4"/>
  <c r="E57" i="4"/>
  <c r="G56" i="2"/>
  <c r="H56" i="2"/>
  <c r="C58" i="4"/>
  <c r="D58" i="4" s="1"/>
  <c r="E58" i="4" s="1"/>
  <c r="G57" i="2"/>
  <c r="H57" i="2"/>
  <c r="C59" i="4"/>
  <c r="D59" i="4" s="1"/>
  <c r="E59" i="4" s="1"/>
  <c r="G58" i="2"/>
  <c r="H58" i="2"/>
  <c r="C60" i="4"/>
  <c r="D60" i="4"/>
  <c r="E60" i="4" s="1"/>
  <c r="G59" i="2"/>
  <c r="H59" i="2"/>
  <c r="C61" i="4"/>
  <c r="D61" i="4"/>
  <c r="E61" i="4"/>
  <c r="G60" i="2"/>
  <c r="H60" i="2"/>
  <c r="C62" i="4"/>
  <c r="D62" i="4" s="1"/>
  <c r="E62" i="4" s="1"/>
  <c r="G61" i="2"/>
  <c r="H61" i="2"/>
  <c r="C63" i="4"/>
  <c r="D63" i="4" s="1"/>
  <c r="E63" i="4" s="1"/>
  <c r="G62" i="2"/>
  <c r="H62" i="2"/>
  <c r="C64" i="4"/>
  <c r="D64" i="4"/>
  <c r="E64" i="4" s="1"/>
  <c r="G63" i="2"/>
  <c r="H63" i="2"/>
  <c r="C65" i="4"/>
  <c r="D65" i="4"/>
  <c r="E65" i="4"/>
  <c r="G64" i="2"/>
  <c r="H64" i="2"/>
  <c r="C66" i="4"/>
  <c r="D66" i="4" s="1"/>
  <c r="E66" i="4" s="1"/>
  <c r="G65" i="2"/>
  <c r="H65" i="2"/>
  <c r="C67" i="4"/>
  <c r="D67" i="4" s="1"/>
  <c r="E67" i="4" s="1"/>
  <c r="G66" i="2"/>
  <c r="H66" i="2"/>
  <c r="C68" i="4"/>
  <c r="D68" i="4"/>
  <c r="E68" i="4" s="1"/>
  <c r="G67" i="2"/>
  <c r="H67" i="2"/>
  <c r="C69" i="4"/>
  <c r="D69" i="4"/>
  <c r="E69" i="4"/>
  <c r="G68" i="2"/>
  <c r="H68" i="2"/>
  <c r="C70" i="4"/>
  <c r="D70" i="4"/>
  <c r="E70" i="4"/>
  <c r="G69" i="2"/>
  <c r="H69" i="2"/>
  <c r="C71" i="4"/>
  <c r="D71" i="4" s="1"/>
  <c r="E71" i="4" s="1"/>
  <c r="G70" i="2"/>
  <c r="H70" i="2"/>
  <c r="C72" i="4"/>
  <c r="D72" i="4"/>
  <c r="E72" i="4" s="1"/>
  <c r="G71" i="2"/>
  <c r="H71" i="2"/>
  <c r="C73" i="4"/>
  <c r="D73" i="4"/>
  <c r="E73" i="4" s="1"/>
  <c r="G72" i="2"/>
  <c r="H72" i="2"/>
  <c r="C74" i="4"/>
  <c r="D74" i="4"/>
  <c r="E74" i="4"/>
  <c r="G73" i="2"/>
  <c r="H73" i="2"/>
  <c r="C75" i="4"/>
  <c r="D75" i="4" s="1"/>
  <c r="E75" i="4" s="1"/>
  <c r="G74" i="2"/>
  <c r="H74" i="2"/>
  <c r="C76" i="4"/>
  <c r="D76" i="4"/>
  <c r="E76" i="4" s="1"/>
  <c r="G75" i="2"/>
  <c r="H75" i="2"/>
  <c r="C77" i="4"/>
  <c r="D77" i="4"/>
  <c r="E77" i="4" s="1"/>
  <c r="G76" i="2"/>
  <c r="H76" i="2"/>
  <c r="C78" i="4"/>
  <c r="D78" i="4"/>
  <c r="E78" i="4"/>
  <c r="G77" i="2"/>
  <c r="H77" i="2"/>
  <c r="C79" i="4"/>
  <c r="D79" i="4" s="1"/>
  <c r="E79" i="4" s="1"/>
  <c r="G78" i="2"/>
  <c r="H78" i="2"/>
  <c r="C80" i="4"/>
  <c r="D80" i="4" s="1"/>
  <c r="E80" i="4" s="1"/>
  <c r="G79" i="2"/>
  <c r="H79" i="2"/>
  <c r="C81" i="4"/>
  <c r="D81" i="4"/>
  <c r="E81" i="4"/>
  <c r="G80" i="2"/>
  <c r="H80" i="2"/>
  <c r="C82" i="4"/>
  <c r="D82" i="4" s="1"/>
  <c r="E82" i="4"/>
  <c r="G81" i="2"/>
  <c r="H81" i="2"/>
  <c r="C83" i="4"/>
  <c r="D83" i="4" s="1"/>
  <c r="E83" i="4" s="1"/>
  <c r="H82" i="2"/>
  <c r="C84" i="4"/>
  <c r="D84" i="4"/>
  <c r="E84" i="4" s="1"/>
  <c r="G83" i="2"/>
  <c r="H83" i="2"/>
  <c r="C85" i="4"/>
  <c r="D85" i="4" s="1"/>
  <c r="E85" i="4" s="1"/>
  <c r="H84" i="2"/>
  <c r="C86" i="4"/>
  <c r="D86" i="4" s="1"/>
  <c r="E86" i="4" s="1"/>
  <c r="H85" i="2"/>
  <c r="C87" i="4"/>
  <c r="D87" i="4" s="1"/>
  <c r="E87" i="4" s="1"/>
  <c r="H86" i="2"/>
  <c r="C88" i="4"/>
  <c r="D88" i="4"/>
  <c r="E88" i="4"/>
  <c r="J101" i="2"/>
  <c r="I101" i="2"/>
  <c r="K101" i="2"/>
  <c r="H87" i="2"/>
  <c r="C89" i="4"/>
  <c r="D89" i="4" s="1"/>
  <c r="I89" i="4"/>
  <c r="L89" i="4"/>
  <c r="N89" i="4"/>
  <c r="J61" i="6"/>
  <c r="C4" i="6"/>
  <c r="D4" i="6"/>
  <c r="E4" i="6"/>
  <c r="F5" i="6"/>
  <c r="C5" i="6"/>
  <c r="D5" i="6"/>
  <c r="E5" i="6"/>
  <c r="F6" i="6"/>
  <c r="C6" i="6"/>
  <c r="D6" i="6"/>
  <c r="E6" i="6"/>
  <c r="F7" i="6"/>
  <c r="C7" i="6"/>
  <c r="D7" i="6"/>
  <c r="E7" i="6"/>
  <c r="F8" i="6"/>
  <c r="C8" i="6"/>
  <c r="D8" i="6"/>
  <c r="E8" i="6"/>
  <c r="F9" i="6"/>
  <c r="C9" i="6"/>
  <c r="D9" i="6"/>
  <c r="E9" i="6"/>
  <c r="F10" i="6"/>
  <c r="C10" i="6"/>
  <c r="D10" i="6"/>
  <c r="E10" i="6"/>
  <c r="F11" i="6"/>
  <c r="C11" i="6"/>
  <c r="D11" i="6"/>
  <c r="E11" i="6"/>
  <c r="F12" i="6"/>
  <c r="C12" i="6"/>
  <c r="D12" i="6"/>
  <c r="E12" i="6"/>
  <c r="F13" i="6"/>
  <c r="C13" i="6"/>
  <c r="D13" i="6"/>
  <c r="E13" i="6"/>
  <c r="F14" i="6"/>
  <c r="C14" i="6"/>
  <c r="D14" i="6"/>
  <c r="E14" i="6"/>
  <c r="F15" i="6"/>
  <c r="C15" i="6"/>
  <c r="D15" i="6"/>
  <c r="E15" i="6"/>
  <c r="F16" i="6"/>
  <c r="C16" i="6"/>
  <c r="D16" i="6"/>
  <c r="E16" i="6"/>
  <c r="F17" i="6"/>
  <c r="C17" i="6"/>
  <c r="D17" i="6"/>
  <c r="E17" i="6"/>
  <c r="F18" i="6"/>
  <c r="C18" i="6"/>
  <c r="D18" i="6"/>
  <c r="E18" i="6"/>
  <c r="F19" i="6"/>
  <c r="C19" i="6"/>
  <c r="D19" i="6"/>
  <c r="E19" i="6"/>
  <c r="F20" i="6"/>
  <c r="C20" i="6"/>
  <c r="D20" i="6"/>
  <c r="E20" i="6"/>
  <c r="F21" i="6"/>
  <c r="C21" i="6"/>
  <c r="D21" i="6"/>
  <c r="E21" i="6"/>
  <c r="F22" i="6"/>
  <c r="C22" i="6"/>
  <c r="D22" i="6"/>
  <c r="E22" i="6"/>
  <c r="F23" i="6"/>
  <c r="C23" i="6"/>
  <c r="D23" i="6"/>
  <c r="E23" i="6"/>
  <c r="F24" i="6"/>
  <c r="C24" i="6"/>
  <c r="D24" i="6"/>
  <c r="E24" i="6"/>
  <c r="F25" i="6"/>
  <c r="C25" i="6"/>
  <c r="D25" i="6"/>
  <c r="E25" i="6"/>
  <c r="F26" i="6"/>
  <c r="C26" i="6"/>
  <c r="D26" i="6"/>
  <c r="E26" i="6"/>
  <c r="F27" i="6"/>
  <c r="C27" i="6"/>
  <c r="D27" i="6"/>
  <c r="E27" i="6"/>
  <c r="F28" i="6"/>
  <c r="C28" i="6"/>
  <c r="D28" i="6"/>
  <c r="E28" i="6"/>
  <c r="F29" i="6"/>
  <c r="C29" i="6"/>
  <c r="D29" i="6"/>
  <c r="E29" i="6"/>
  <c r="F30" i="6"/>
  <c r="C30" i="6"/>
  <c r="D30" i="6"/>
  <c r="E30" i="6"/>
  <c r="F31" i="6"/>
  <c r="C31" i="6"/>
  <c r="D31" i="6"/>
  <c r="E31" i="6"/>
  <c r="F32" i="6"/>
  <c r="C32" i="6"/>
  <c r="D32" i="6"/>
  <c r="E32" i="6"/>
  <c r="F33" i="6"/>
  <c r="C33" i="6"/>
  <c r="D33" i="6"/>
  <c r="E33" i="6"/>
  <c r="F34" i="6"/>
  <c r="C34" i="6"/>
  <c r="D34" i="6"/>
  <c r="E34" i="6"/>
  <c r="F35" i="6"/>
  <c r="C35" i="6"/>
  <c r="D35" i="6"/>
  <c r="E35" i="6"/>
  <c r="F36" i="6"/>
  <c r="C36" i="6"/>
  <c r="D36" i="6"/>
  <c r="E36" i="6"/>
  <c r="F37" i="6"/>
  <c r="C37" i="6"/>
  <c r="D37" i="6"/>
  <c r="E37" i="6"/>
  <c r="F38" i="6"/>
  <c r="C38" i="6"/>
  <c r="D38" i="6"/>
  <c r="E38" i="6"/>
  <c r="F39" i="6"/>
  <c r="C39" i="6"/>
  <c r="D39" i="6"/>
  <c r="E39" i="6"/>
  <c r="F40" i="6"/>
  <c r="C40" i="6"/>
  <c r="D40" i="6"/>
  <c r="E40" i="6"/>
  <c r="F41" i="6"/>
  <c r="C41" i="6"/>
  <c r="D41" i="6"/>
  <c r="E41" i="6"/>
  <c r="F42" i="6"/>
  <c r="C42" i="6"/>
  <c r="D42" i="6"/>
  <c r="E42" i="6"/>
  <c r="F43" i="6"/>
  <c r="C43" i="6"/>
  <c r="D43" i="6"/>
  <c r="E43" i="6"/>
  <c r="F44" i="6"/>
  <c r="C44" i="6"/>
  <c r="D44" i="6"/>
  <c r="E44" i="6"/>
  <c r="F45" i="6"/>
  <c r="C45" i="6"/>
  <c r="D45" i="6"/>
  <c r="E45" i="6"/>
  <c r="F46" i="6"/>
  <c r="C46" i="6"/>
  <c r="D46" i="6"/>
  <c r="E46" i="6"/>
  <c r="F47" i="6"/>
  <c r="C47" i="6"/>
  <c r="D47" i="6"/>
  <c r="E47" i="6"/>
  <c r="F48" i="6"/>
  <c r="C48" i="6"/>
  <c r="D48" i="6"/>
  <c r="E48" i="6"/>
  <c r="F49" i="6"/>
  <c r="C49" i="6"/>
  <c r="D49" i="6"/>
  <c r="E49" i="6"/>
  <c r="F50" i="6"/>
  <c r="C50" i="6"/>
  <c r="D50" i="6"/>
  <c r="E50" i="6"/>
  <c r="F51" i="6"/>
  <c r="C51" i="6"/>
  <c r="D51" i="6"/>
  <c r="E51" i="6"/>
  <c r="F52" i="6"/>
  <c r="C52" i="6"/>
  <c r="D52" i="6"/>
  <c r="E52" i="6"/>
  <c r="F53" i="6"/>
  <c r="C53" i="6"/>
  <c r="D53" i="6"/>
  <c r="E53" i="6"/>
  <c r="F54" i="6"/>
  <c r="C54" i="6"/>
  <c r="D54" i="6"/>
  <c r="E54" i="6"/>
  <c r="F55" i="6"/>
  <c r="C55" i="6"/>
  <c r="D55" i="6"/>
  <c r="E55" i="6"/>
  <c r="F56" i="6"/>
  <c r="C56" i="6"/>
  <c r="D56" i="6"/>
  <c r="E56" i="6"/>
  <c r="F57" i="6"/>
  <c r="C57" i="6"/>
  <c r="D57" i="6"/>
  <c r="E57" i="6"/>
  <c r="F58" i="6"/>
  <c r="C58" i="6"/>
  <c r="D58" i="6"/>
  <c r="E58" i="6"/>
  <c r="F59" i="6"/>
  <c r="C59" i="6"/>
  <c r="D59" i="6"/>
  <c r="E59" i="6"/>
  <c r="F60" i="6"/>
  <c r="C60" i="6"/>
  <c r="D60" i="6"/>
  <c r="E60" i="6"/>
  <c r="F61" i="6"/>
  <c r="C61" i="6"/>
  <c r="D61" i="6"/>
  <c r="E61" i="6"/>
  <c r="G61" i="6"/>
  <c r="G4" i="4"/>
  <c r="J4" i="6"/>
  <c r="I89" i="6"/>
  <c r="C89" i="6"/>
  <c r="D89" i="6"/>
  <c r="E89" i="6"/>
  <c r="J88" i="6"/>
  <c r="C88" i="6"/>
  <c r="D88" i="6"/>
  <c r="E88" i="6"/>
  <c r="J87" i="6"/>
  <c r="C87" i="6"/>
  <c r="D87" i="6"/>
  <c r="E87" i="6"/>
  <c r="J86" i="6"/>
  <c r="C86" i="6"/>
  <c r="D86" i="6"/>
  <c r="E86" i="6"/>
  <c r="J85" i="6"/>
  <c r="C85" i="6"/>
  <c r="D85" i="6"/>
  <c r="E85" i="6"/>
  <c r="J84" i="6"/>
  <c r="C84" i="6"/>
  <c r="D84" i="6"/>
  <c r="E84" i="6"/>
  <c r="J83" i="6"/>
  <c r="C83" i="6"/>
  <c r="D83" i="6"/>
  <c r="E83" i="6"/>
  <c r="J82" i="6"/>
  <c r="C82" i="6"/>
  <c r="D82" i="6"/>
  <c r="E82" i="6"/>
  <c r="J81" i="6"/>
  <c r="C81" i="6"/>
  <c r="D81" i="6"/>
  <c r="E81" i="6"/>
  <c r="J80" i="6"/>
  <c r="C80" i="6"/>
  <c r="D80" i="6"/>
  <c r="E80" i="6"/>
  <c r="J79" i="6"/>
  <c r="C79" i="6"/>
  <c r="D79" i="6"/>
  <c r="E79" i="6"/>
  <c r="J78" i="6"/>
  <c r="C78" i="6"/>
  <c r="D78" i="6"/>
  <c r="E78" i="6"/>
  <c r="J77" i="6"/>
  <c r="C77" i="6"/>
  <c r="D77" i="6"/>
  <c r="E77" i="6"/>
  <c r="J76" i="6"/>
  <c r="C76" i="6"/>
  <c r="D76" i="6"/>
  <c r="E76" i="6"/>
  <c r="J75" i="6"/>
  <c r="C75" i="6"/>
  <c r="D75" i="6"/>
  <c r="E75" i="6"/>
  <c r="J74" i="6"/>
  <c r="C74" i="6"/>
  <c r="D74" i="6"/>
  <c r="E74" i="6"/>
  <c r="J73" i="6"/>
  <c r="C73" i="6"/>
  <c r="D73" i="6"/>
  <c r="E73" i="6"/>
  <c r="J72" i="6"/>
  <c r="C72" i="6"/>
  <c r="D72" i="6"/>
  <c r="E72" i="6"/>
  <c r="J71" i="6"/>
  <c r="C71" i="6"/>
  <c r="D71" i="6"/>
  <c r="E71" i="6"/>
  <c r="J70" i="6"/>
  <c r="C70" i="6"/>
  <c r="D70" i="6"/>
  <c r="E70" i="6"/>
  <c r="J69" i="6"/>
  <c r="C69" i="6"/>
  <c r="D69" i="6"/>
  <c r="E69" i="6"/>
  <c r="J68" i="6"/>
  <c r="C68" i="6"/>
  <c r="D68" i="6"/>
  <c r="E68" i="6"/>
  <c r="J67" i="6"/>
  <c r="C67" i="6"/>
  <c r="D67" i="6"/>
  <c r="E67" i="6"/>
  <c r="J66" i="6"/>
  <c r="C66" i="6"/>
  <c r="D66" i="6"/>
  <c r="E66" i="6"/>
  <c r="J65" i="6"/>
  <c r="C65" i="6"/>
  <c r="D65" i="6"/>
  <c r="E65" i="6"/>
  <c r="J64" i="6"/>
  <c r="C64" i="6"/>
  <c r="D64" i="6"/>
  <c r="E64" i="6"/>
  <c r="J63" i="6"/>
  <c r="C63" i="6"/>
  <c r="D63" i="6"/>
  <c r="E63" i="6"/>
  <c r="J62" i="6"/>
  <c r="C62" i="6"/>
  <c r="D62" i="6"/>
  <c r="E62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" i="6"/>
  <c r="J5" i="6"/>
  <c r="G4" i="6"/>
  <c r="L89" i="6"/>
  <c r="N89" i="6"/>
  <c r="G5" i="6"/>
  <c r="K4" i="6"/>
  <c r="K6" i="6"/>
  <c r="K5" i="6"/>
  <c r="G6" i="6"/>
  <c r="K7" i="6"/>
  <c r="G7" i="6"/>
  <c r="K8" i="6"/>
  <c r="G8" i="6"/>
  <c r="K9" i="6"/>
  <c r="G9" i="6"/>
  <c r="G10" i="6"/>
  <c r="K10" i="6"/>
  <c r="G11" i="6"/>
  <c r="K11" i="6"/>
  <c r="G12" i="6"/>
  <c r="K12" i="6"/>
  <c r="G13" i="6"/>
  <c r="K13" i="6"/>
  <c r="G14" i="6"/>
  <c r="K15" i="6"/>
  <c r="K14" i="6"/>
  <c r="G15" i="6"/>
  <c r="G16" i="6"/>
  <c r="K16" i="6"/>
  <c r="G17" i="6"/>
  <c r="K17" i="6"/>
  <c r="G18" i="6"/>
  <c r="K18" i="6"/>
  <c r="G19" i="6"/>
  <c r="K19" i="6"/>
  <c r="G20" i="6"/>
  <c r="K20" i="6"/>
  <c r="G21" i="6"/>
  <c r="K22" i="6"/>
  <c r="K21" i="6"/>
  <c r="G22" i="6"/>
  <c r="G23" i="6"/>
  <c r="K23" i="6"/>
  <c r="G24" i="6"/>
  <c r="K24" i="6"/>
  <c r="G25" i="6"/>
  <c r="K25" i="6"/>
  <c r="G26" i="6"/>
  <c r="K26" i="6"/>
  <c r="G27" i="6"/>
  <c r="K27" i="6"/>
  <c r="G28" i="6"/>
  <c r="K28" i="6"/>
  <c r="G29" i="6"/>
  <c r="K29" i="6"/>
  <c r="G30" i="6"/>
  <c r="K30" i="6"/>
  <c r="G31" i="6"/>
  <c r="K31" i="6"/>
  <c r="G32" i="6"/>
  <c r="K32" i="6"/>
  <c r="G33" i="6"/>
  <c r="K33" i="6"/>
  <c r="G34" i="6"/>
  <c r="K34" i="6"/>
  <c r="G35" i="6"/>
  <c r="K35" i="6"/>
  <c r="G36" i="6"/>
  <c r="K36" i="6"/>
  <c r="G37" i="6"/>
  <c r="K37" i="6"/>
  <c r="G38" i="6"/>
  <c r="K38" i="6"/>
  <c r="G39" i="6"/>
  <c r="K39" i="6"/>
  <c r="G40" i="6"/>
  <c r="K40" i="6"/>
  <c r="G41" i="6"/>
  <c r="K41" i="6"/>
  <c r="G42" i="6"/>
  <c r="K42" i="6"/>
  <c r="G43" i="6"/>
  <c r="K43" i="6"/>
  <c r="G44" i="6"/>
  <c r="K44" i="6"/>
  <c r="G45" i="6"/>
  <c r="K45" i="6"/>
  <c r="G46" i="6"/>
  <c r="K46" i="6"/>
  <c r="G47" i="6"/>
  <c r="K47" i="6"/>
  <c r="G48" i="6"/>
  <c r="K48" i="6"/>
  <c r="G49" i="6"/>
  <c r="K49" i="6"/>
  <c r="G50" i="6"/>
  <c r="K50" i="6"/>
  <c r="G51" i="6"/>
  <c r="K51" i="6"/>
  <c r="G52" i="6"/>
  <c r="K52" i="6"/>
  <c r="G53" i="6"/>
  <c r="K53" i="6"/>
  <c r="G54" i="6"/>
  <c r="K54" i="6"/>
  <c r="G55" i="6"/>
  <c r="K55" i="6"/>
  <c r="G56" i="6"/>
  <c r="K56" i="6"/>
  <c r="G57" i="6"/>
  <c r="K57" i="6"/>
  <c r="G58" i="6"/>
  <c r="K58" i="6"/>
  <c r="G59" i="6"/>
  <c r="K59" i="6"/>
  <c r="G60" i="6"/>
  <c r="K60" i="6"/>
  <c r="F62" i="6"/>
  <c r="K61" i="6"/>
  <c r="F63" i="6"/>
  <c r="G62" i="6"/>
  <c r="K62" i="6"/>
  <c r="F64" i="6"/>
  <c r="G63" i="6"/>
  <c r="K63" i="6"/>
  <c r="F65" i="6"/>
  <c r="G64" i="6"/>
  <c r="K64" i="6"/>
  <c r="G65" i="6"/>
  <c r="F66" i="6"/>
  <c r="K65" i="6"/>
  <c r="F67" i="6"/>
  <c r="G66" i="6"/>
  <c r="K66" i="6"/>
  <c r="G67" i="6"/>
  <c r="F68" i="6"/>
  <c r="K67" i="6"/>
  <c r="F69" i="6"/>
  <c r="G68" i="6"/>
  <c r="K68" i="6"/>
  <c r="G69" i="6"/>
  <c r="F70" i="6"/>
  <c r="K69" i="6"/>
  <c r="F71" i="6"/>
  <c r="G70" i="6"/>
  <c r="K70" i="6"/>
  <c r="G71" i="6"/>
  <c r="F72" i="6"/>
  <c r="K71" i="6"/>
  <c r="F73" i="6"/>
  <c r="G72" i="6"/>
  <c r="K72" i="6"/>
  <c r="G73" i="6"/>
  <c r="F74" i="6"/>
  <c r="K73" i="6"/>
  <c r="F75" i="6"/>
  <c r="G74" i="6"/>
  <c r="K74" i="6"/>
  <c r="G75" i="6"/>
  <c r="F76" i="6"/>
  <c r="K75" i="6"/>
  <c r="F77" i="6"/>
  <c r="G76" i="6"/>
  <c r="K76" i="6"/>
  <c r="G77" i="6"/>
  <c r="F78" i="6"/>
  <c r="K77" i="6"/>
  <c r="F79" i="6"/>
  <c r="G78" i="6"/>
  <c r="K78" i="6"/>
  <c r="G79" i="6"/>
  <c r="F80" i="6"/>
  <c r="K79" i="6"/>
  <c r="F81" i="6"/>
  <c r="G80" i="6"/>
  <c r="K80" i="6"/>
  <c r="G81" i="6"/>
  <c r="F82" i="6"/>
  <c r="K81" i="6"/>
  <c r="F83" i="6"/>
  <c r="G82" i="6"/>
  <c r="K82" i="6"/>
  <c r="G83" i="6"/>
  <c r="F84" i="6"/>
  <c r="K83" i="6"/>
  <c r="F85" i="6"/>
  <c r="G84" i="6"/>
  <c r="K84" i="6"/>
  <c r="G85" i="6"/>
  <c r="F86" i="6"/>
  <c r="K85" i="6"/>
  <c r="F87" i="6"/>
  <c r="G86" i="6"/>
  <c r="K86" i="6"/>
  <c r="G87" i="6"/>
  <c r="F88" i="6"/>
  <c r="K87" i="6"/>
  <c r="F89" i="6"/>
  <c r="K89" i="6"/>
  <c r="G88" i="6"/>
  <c r="K88" i="6"/>
  <c r="M4" i="6"/>
  <c r="G89" i="6"/>
  <c r="M88" i="6"/>
  <c r="O88" i="6"/>
  <c r="P88" i="6"/>
  <c r="M6" i="6"/>
  <c r="M5" i="6"/>
  <c r="O5" i="6"/>
  <c r="P5" i="6"/>
  <c r="M84" i="6"/>
  <c r="O84" i="6"/>
  <c r="P84" i="6"/>
  <c r="M85" i="6"/>
  <c r="O85" i="6"/>
  <c r="P85" i="6"/>
  <c r="M89" i="6"/>
  <c r="O89" i="6"/>
  <c r="P89" i="6"/>
  <c r="O4" i="6"/>
  <c r="P4" i="6"/>
  <c r="O6" i="6"/>
  <c r="P6" i="6"/>
  <c r="M7" i="6"/>
  <c r="O7" i="6"/>
  <c r="P7" i="6"/>
  <c r="M8" i="6"/>
  <c r="O8" i="6"/>
  <c r="P8" i="6"/>
  <c r="M10" i="6"/>
  <c r="O10" i="6"/>
  <c r="P10" i="6"/>
  <c r="M9" i="6"/>
  <c r="O9" i="6"/>
  <c r="P9" i="6"/>
  <c r="M13" i="6"/>
  <c r="O13" i="6"/>
  <c r="P13" i="6"/>
  <c r="M11" i="6"/>
  <c r="O11" i="6"/>
  <c r="P11" i="6"/>
  <c r="M14" i="6"/>
  <c r="O14" i="6"/>
  <c r="P14" i="6"/>
  <c r="M12" i="6"/>
  <c r="O12" i="6"/>
  <c r="P12" i="6"/>
  <c r="M16" i="6"/>
  <c r="O16" i="6"/>
  <c r="P16" i="6"/>
  <c r="M15" i="6"/>
  <c r="O15" i="6"/>
  <c r="P15" i="6"/>
  <c r="M18" i="6"/>
  <c r="O18" i="6"/>
  <c r="P18" i="6"/>
  <c r="M17" i="6"/>
  <c r="O17" i="6"/>
  <c r="P17" i="6"/>
  <c r="M20" i="6"/>
  <c r="O20" i="6"/>
  <c r="P20" i="6"/>
  <c r="M19" i="6"/>
  <c r="O19" i="6"/>
  <c r="P19" i="6"/>
  <c r="M21" i="6"/>
  <c r="O21" i="6"/>
  <c r="P21" i="6"/>
  <c r="M22" i="6"/>
  <c r="O22" i="6"/>
  <c r="P22" i="6"/>
  <c r="M23" i="6"/>
  <c r="O23" i="6"/>
  <c r="P23" i="6"/>
  <c r="M24" i="6"/>
  <c r="O24" i="6"/>
  <c r="P24" i="6"/>
  <c r="M25" i="6"/>
  <c r="O25" i="6"/>
  <c r="P25" i="6"/>
  <c r="M26" i="6"/>
  <c r="O26" i="6"/>
  <c r="P26" i="6"/>
  <c r="M29" i="6"/>
  <c r="O29" i="6"/>
  <c r="P29" i="6"/>
  <c r="M27" i="6"/>
  <c r="O27" i="6"/>
  <c r="P27" i="6"/>
  <c r="M28" i="6"/>
  <c r="O28" i="6"/>
  <c r="P28" i="6"/>
  <c r="M32" i="6"/>
  <c r="O32" i="6"/>
  <c r="P32" i="6"/>
  <c r="M31" i="6"/>
  <c r="O31" i="6"/>
  <c r="P31" i="6"/>
  <c r="M30" i="6"/>
  <c r="O30" i="6"/>
  <c r="P30" i="6"/>
  <c r="M33" i="6"/>
  <c r="O33" i="6"/>
  <c r="P33" i="6"/>
  <c r="M34" i="6"/>
  <c r="O34" i="6"/>
  <c r="P34" i="6"/>
  <c r="M35" i="6"/>
  <c r="O35" i="6"/>
  <c r="P35" i="6"/>
  <c r="M36" i="6"/>
  <c r="O36" i="6"/>
  <c r="P36" i="6"/>
  <c r="M37" i="6"/>
  <c r="O37" i="6"/>
  <c r="P37" i="6"/>
  <c r="M40" i="6"/>
  <c r="O40" i="6"/>
  <c r="P40" i="6"/>
  <c r="M38" i="6"/>
  <c r="O38" i="6"/>
  <c r="P38" i="6"/>
  <c r="M42" i="6"/>
  <c r="O42" i="6"/>
  <c r="P42" i="6"/>
  <c r="M39" i="6"/>
  <c r="O39" i="6"/>
  <c r="P39" i="6"/>
  <c r="M41" i="6"/>
  <c r="O41" i="6"/>
  <c r="P41" i="6"/>
  <c r="M44" i="6"/>
  <c r="O44" i="6"/>
  <c r="P44" i="6"/>
  <c r="M43" i="6"/>
  <c r="O43" i="6"/>
  <c r="P43" i="6"/>
  <c r="M47" i="6"/>
  <c r="O47" i="6"/>
  <c r="P47" i="6"/>
  <c r="M46" i="6"/>
  <c r="O46" i="6"/>
  <c r="P46" i="6"/>
  <c r="M48" i="6"/>
  <c r="O48" i="6"/>
  <c r="P48" i="6"/>
  <c r="M45" i="6"/>
  <c r="O45" i="6"/>
  <c r="P45" i="6"/>
  <c r="M50" i="6"/>
  <c r="O50" i="6"/>
  <c r="P50" i="6"/>
  <c r="M53" i="6"/>
  <c r="O53" i="6"/>
  <c r="P53" i="6"/>
  <c r="M49" i="6"/>
  <c r="O49" i="6"/>
  <c r="P49" i="6"/>
  <c r="M51" i="6"/>
  <c r="O51" i="6"/>
  <c r="P51" i="6"/>
  <c r="M52" i="6"/>
  <c r="O52" i="6"/>
  <c r="P52" i="6"/>
  <c r="M55" i="6"/>
  <c r="O55" i="6"/>
  <c r="P55" i="6"/>
  <c r="M57" i="6"/>
  <c r="O57" i="6"/>
  <c r="P57" i="6"/>
  <c r="M54" i="6"/>
  <c r="O54" i="6"/>
  <c r="P54" i="6"/>
  <c r="M56" i="6"/>
  <c r="O56" i="6"/>
  <c r="P56" i="6"/>
  <c r="M58" i="6"/>
  <c r="O58" i="6"/>
  <c r="P58" i="6"/>
  <c r="M61" i="6"/>
  <c r="O61" i="6"/>
  <c r="P61" i="6"/>
  <c r="M59" i="6"/>
  <c r="O59" i="6"/>
  <c r="P59" i="6"/>
  <c r="M62" i="6"/>
  <c r="O62" i="6"/>
  <c r="P62" i="6"/>
  <c r="M60" i="6"/>
  <c r="O60" i="6"/>
  <c r="P60" i="6"/>
  <c r="M63" i="6"/>
  <c r="O63" i="6"/>
  <c r="P63" i="6"/>
  <c r="M65" i="6"/>
  <c r="O65" i="6"/>
  <c r="P65" i="6"/>
  <c r="M66" i="6"/>
  <c r="O66" i="6"/>
  <c r="P66" i="6"/>
  <c r="M64" i="6"/>
  <c r="O64" i="6"/>
  <c r="P64" i="6"/>
  <c r="M67" i="6"/>
  <c r="O67" i="6"/>
  <c r="P67" i="6"/>
  <c r="M69" i="6"/>
  <c r="O69" i="6"/>
  <c r="P69" i="6"/>
  <c r="M68" i="6"/>
  <c r="O68" i="6"/>
  <c r="P68" i="6"/>
  <c r="M71" i="6"/>
  <c r="O71" i="6"/>
  <c r="P71" i="6"/>
  <c r="M70" i="6"/>
  <c r="O70" i="6"/>
  <c r="P70" i="6"/>
  <c r="M73" i="6"/>
  <c r="O73" i="6"/>
  <c r="P73" i="6"/>
  <c r="M72" i="6"/>
  <c r="O72" i="6"/>
  <c r="P72" i="6"/>
  <c r="M75" i="6"/>
  <c r="O75" i="6"/>
  <c r="P75" i="6"/>
  <c r="M74" i="6"/>
  <c r="O74" i="6"/>
  <c r="P74" i="6"/>
  <c r="M77" i="6"/>
  <c r="O77" i="6"/>
  <c r="P77" i="6"/>
  <c r="M76" i="6"/>
  <c r="O76" i="6"/>
  <c r="P76" i="6"/>
  <c r="M78" i="6"/>
  <c r="O78" i="6"/>
  <c r="P78" i="6"/>
  <c r="M80" i="6"/>
  <c r="O80" i="6"/>
  <c r="P80" i="6"/>
  <c r="M81" i="6"/>
  <c r="O81" i="6"/>
  <c r="P81" i="6"/>
  <c r="M79" i="6"/>
  <c r="O79" i="6"/>
  <c r="P79" i="6"/>
  <c r="M82" i="6"/>
  <c r="O82" i="6"/>
  <c r="P82" i="6"/>
  <c r="M86" i="6"/>
  <c r="O86" i="6"/>
  <c r="P86" i="6"/>
  <c r="M83" i="6"/>
  <c r="O83" i="6"/>
  <c r="P83" i="6"/>
  <c r="M87" i="6"/>
  <c r="O87" i="6"/>
  <c r="P87" i="6"/>
  <c r="E89" i="4"/>
  <c r="G3" i="2"/>
  <c r="G4" i="2"/>
  <c r="G5" i="2"/>
  <c r="G6" i="2"/>
  <c r="C8" i="3"/>
  <c r="D8" i="3" s="1"/>
  <c r="E8" i="3" s="1"/>
  <c r="G7" i="2"/>
  <c r="G8" i="2"/>
  <c r="G9" i="2"/>
  <c r="G10" i="2"/>
  <c r="C12" i="3"/>
  <c r="D12" i="3" s="1"/>
  <c r="E12" i="3" s="1"/>
  <c r="G11" i="2"/>
  <c r="G12" i="2"/>
  <c r="G13" i="2"/>
  <c r="G14" i="2"/>
  <c r="G15" i="2"/>
  <c r="G16" i="2"/>
  <c r="G17" i="2"/>
  <c r="G18" i="2"/>
  <c r="C20" i="3"/>
  <c r="D20" i="3"/>
  <c r="E20" i="3" s="1"/>
  <c r="C24" i="3"/>
  <c r="D24" i="3"/>
  <c r="E24" i="3"/>
  <c r="C32" i="3"/>
  <c r="D32" i="3" s="1"/>
  <c r="E32" i="3" s="1"/>
  <c r="C36" i="3"/>
  <c r="D36" i="3" s="1"/>
  <c r="E36" i="3" s="1"/>
  <c r="C40" i="3"/>
  <c r="D40" i="3"/>
  <c r="E40" i="3"/>
  <c r="C44" i="3"/>
  <c r="D44" i="3"/>
  <c r="E44" i="3"/>
  <c r="C52" i="3"/>
  <c r="D52" i="3" s="1"/>
  <c r="E52" i="3" s="1"/>
  <c r="C56" i="3"/>
  <c r="D56" i="3"/>
  <c r="E56" i="3" s="1"/>
  <c r="C60" i="3"/>
  <c r="D60" i="3"/>
  <c r="E60" i="3" s="1"/>
  <c r="C64" i="3"/>
  <c r="D64" i="3"/>
  <c r="E64" i="3"/>
  <c r="C68" i="3"/>
  <c r="D68" i="3" s="1"/>
  <c r="E68" i="3" s="1"/>
  <c r="C72" i="3"/>
  <c r="D72" i="3" s="1"/>
  <c r="E72" i="3" s="1"/>
  <c r="C76" i="3"/>
  <c r="D76" i="3"/>
  <c r="E76" i="3"/>
  <c r="C80" i="3"/>
  <c r="D80" i="3" s="1"/>
  <c r="E80" i="3"/>
  <c r="G82" i="2"/>
  <c r="C84" i="3"/>
  <c r="D84" i="3" s="1"/>
  <c r="E84" i="3" s="1"/>
  <c r="G84" i="2"/>
  <c r="G85" i="2"/>
  <c r="G86" i="2"/>
  <c r="C88" i="3"/>
  <c r="D88" i="3"/>
  <c r="E88" i="3" s="1"/>
  <c r="G87" i="2"/>
  <c r="G88" i="2"/>
  <c r="G89" i="2"/>
  <c r="G90" i="2"/>
  <c r="C92" i="3"/>
  <c r="D92" i="3"/>
  <c r="E92" i="3" s="1"/>
  <c r="F93" i="3" s="1"/>
  <c r="G93" i="3" s="1"/>
  <c r="G91" i="2"/>
  <c r="C93" i="3"/>
  <c r="D93" i="3"/>
  <c r="E93" i="3" s="1"/>
  <c r="F94" i="3" s="1"/>
  <c r="G92" i="2"/>
  <c r="G93" i="2"/>
  <c r="G94" i="2"/>
  <c r="C96" i="3"/>
  <c r="D96" i="3"/>
  <c r="E96" i="3"/>
  <c r="F97" i="3" s="1"/>
  <c r="G95" i="2"/>
  <c r="G96" i="2"/>
  <c r="G97" i="2"/>
  <c r="G98" i="2"/>
  <c r="C100" i="3"/>
  <c r="D100" i="3"/>
  <c r="E100" i="3" s="1"/>
  <c r="F101" i="3" s="1"/>
  <c r="G101" i="3" s="1"/>
  <c r="G99" i="2"/>
  <c r="C101" i="3"/>
  <c r="D101" i="3"/>
  <c r="E101" i="3" s="1"/>
  <c r="F102" i="3" s="1"/>
  <c r="G100" i="2"/>
  <c r="G101" i="2"/>
  <c r="G102" i="2"/>
  <c r="C104" i="3"/>
  <c r="D104" i="3"/>
  <c r="E104" i="3"/>
  <c r="G103" i="2"/>
  <c r="G2" i="2"/>
  <c r="C7" i="3"/>
  <c r="D7" i="3"/>
  <c r="E7" i="3" s="1"/>
  <c r="C15" i="3"/>
  <c r="D15" i="3"/>
  <c r="E15" i="3" s="1"/>
  <c r="C16" i="3"/>
  <c r="D16" i="3"/>
  <c r="E16" i="3"/>
  <c r="C23" i="3"/>
  <c r="D23" i="3" s="1"/>
  <c r="E23" i="3" s="1"/>
  <c r="C28" i="3"/>
  <c r="D28" i="3" s="1"/>
  <c r="E28" i="3" s="1"/>
  <c r="C31" i="3"/>
  <c r="D31" i="3"/>
  <c r="E31" i="3"/>
  <c r="C39" i="3"/>
  <c r="D39" i="3"/>
  <c r="E39" i="3"/>
  <c r="C47" i="3"/>
  <c r="D47" i="3" s="1"/>
  <c r="E47" i="3" s="1"/>
  <c r="C48" i="3"/>
  <c r="D48" i="3"/>
  <c r="E48" i="3" s="1"/>
  <c r="C55" i="3"/>
  <c r="D55" i="3"/>
  <c r="E55" i="3" s="1"/>
  <c r="C11" i="3"/>
  <c r="D11" i="3"/>
  <c r="E11" i="3"/>
  <c r="C19" i="3"/>
  <c r="D19" i="3" s="1"/>
  <c r="E19" i="3" s="1"/>
  <c r="C27" i="3"/>
  <c r="D27" i="3" s="1"/>
  <c r="E27" i="3" s="1"/>
  <c r="C35" i="3"/>
  <c r="D35" i="3"/>
  <c r="E35" i="3"/>
  <c r="C43" i="3"/>
  <c r="D43" i="3"/>
  <c r="E43" i="3"/>
  <c r="C51" i="3"/>
  <c r="D51" i="3" s="1"/>
  <c r="E51" i="3" s="1"/>
  <c r="C5" i="3"/>
  <c r="D5" i="3"/>
  <c r="E5" i="3" s="1"/>
  <c r="C6" i="3"/>
  <c r="D6" i="3"/>
  <c r="E6" i="3" s="1"/>
  <c r="C9" i="3"/>
  <c r="D9" i="3"/>
  <c r="E9" i="3"/>
  <c r="C10" i="3"/>
  <c r="D10" i="3" s="1"/>
  <c r="E10" i="3" s="1"/>
  <c r="C13" i="3"/>
  <c r="D13" i="3" s="1"/>
  <c r="E13" i="3" s="1"/>
  <c r="C14" i="3"/>
  <c r="D14" i="3"/>
  <c r="E14" i="3"/>
  <c r="C17" i="3"/>
  <c r="D17" i="3"/>
  <c r="E17" i="3"/>
  <c r="C18" i="3"/>
  <c r="D18" i="3" s="1"/>
  <c r="E18" i="3" s="1"/>
  <c r="C21" i="3"/>
  <c r="D21" i="3"/>
  <c r="E21" i="3" s="1"/>
  <c r="C22" i="3"/>
  <c r="D22" i="3"/>
  <c r="E22" i="3" s="1"/>
  <c r="C25" i="3"/>
  <c r="D25" i="3"/>
  <c r="E25" i="3"/>
  <c r="C26" i="3"/>
  <c r="D26" i="3" s="1"/>
  <c r="E26" i="3" s="1"/>
  <c r="C29" i="3"/>
  <c r="D29" i="3" s="1"/>
  <c r="E29" i="3" s="1"/>
  <c r="C30" i="3"/>
  <c r="D30" i="3"/>
  <c r="E30" i="3"/>
  <c r="C33" i="3"/>
  <c r="D33" i="3"/>
  <c r="E33" i="3"/>
  <c r="C34" i="3"/>
  <c r="D34" i="3" s="1"/>
  <c r="E34" i="3" s="1"/>
  <c r="C37" i="3"/>
  <c r="D37" i="3"/>
  <c r="E37" i="3" s="1"/>
  <c r="C38" i="3"/>
  <c r="D38" i="3"/>
  <c r="E38" i="3" s="1"/>
  <c r="C41" i="3"/>
  <c r="D41" i="3"/>
  <c r="E41" i="3"/>
  <c r="C42" i="3"/>
  <c r="D42" i="3" s="1"/>
  <c r="E42" i="3"/>
  <c r="C45" i="3"/>
  <c r="D45" i="3"/>
  <c r="E45" i="3" s="1"/>
  <c r="C46" i="3"/>
  <c r="D46" i="3"/>
  <c r="E46" i="3" s="1"/>
  <c r="C49" i="3"/>
  <c r="D49" i="3"/>
  <c r="E49" i="3"/>
  <c r="C50" i="3"/>
  <c r="D50" i="3" s="1"/>
  <c r="E50" i="3"/>
  <c r="C53" i="3"/>
  <c r="D53" i="3"/>
  <c r="E53" i="3" s="1"/>
  <c r="C54" i="3"/>
  <c r="D54" i="3"/>
  <c r="E54" i="3" s="1"/>
  <c r="C57" i="3"/>
  <c r="D57" i="3"/>
  <c r="E57" i="3"/>
  <c r="C58" i="3"/>
  <c r="D58" i="3" s="1"/>
  <c r="E58" i="3"/>
  <c r="C59" i="3"/>
  <c r="D59" i="3"/>
  <c r="E59" i="3" s="1"/>
  <c r="C61" i="3"/>
  <c r="D61" i="3"/>
  <c r="E61" i="3" s="1"/>
  <c r="C62" i="3"/>
  <c r="D62" i="3"/>
  <c r="E62" i="3"/>
  <c r="C63" i="3"/>
  <c r="D63" i="3" s="1"/>
  <c r="E63" i="3"/>
  <c r="C65" i="3"/>
  <c r="D65" i="3"/>
  <c r="E65" i="3" s="1"/>
  <c r="C66" i="3"/>
  <c r="D66" i="3"/>
  <c r="E66" i="3" s="1"/>
  <c r="C67" i="3"/>
  <c r="D67" i="3"/>
  <c r="E67" i="3"/>
  <c r="C69" i="3"/>
  <c r="D69" i="3" s="1"/>
  <c r="E69" i="3"/>
  <c r="C70" i="3"/>
  <c r="D70" i="3"/>
  <c r="E70" i="3" s="1"/>
  <c r="C71" i="3"/>
  <c r="D71" i="3"/>
  <c r="E71" i="3" s="1"/>
  <c r="C73" i="3"/>
  <c r="D73" i="3"/>
  <c r="E73" i="3"/>
  <c r="C74" i="3"/>
  <c r="D74" i="3" s="1"/>
  <c r="E74" i="3"/>
  <c r="C75" i="3"/>
  <c r="D75" i="3"/>
  <c r="E75" i="3" s="1"/>
  <c r="C77" i="3"/>
  <c r="D77" i="3"/>
  <c r="E77" i="3" s="1"/>
  <c r="C78" i="3"/>
  <c r="D78" i="3"/>
  <c r="E78" i="3"/>
  <c r="C79" i="3"/>
  <c r="D79" i="3" s="1"/>
  <c r="E79" i="3"/>
  <c r="C81" i="3"/>
  <c r="D81" i="3"/>
  <c r="E81" i="3" s="1"/>
  <c r="C82" i="3"/>
  <c r="D82" i="3"/>
  <c r="E82" i="3" s="1"/>
  <c r="C83" i="3"/>
  <c r="D83" i="3" s="1"/>
  <c r="E83" i="3"/>
  <c r="C85" i="3"/>
  <c r="D85" i="3"/>
  <c r="E85" i="3" s="1"/>
  <c r="C86" i="3"/>
  <c r="D86" i="3" s="1"/>
  <c r="E86" i="3"/>
  <c r="C87" i="3"/>
  <c r="D87" i="3"/>
  <c r="E87" i="3" s="1"/>
  <c r="C89" i="3"/>
  <c r="D89" i="3" s="1"/>
  <c r="E89" i="3"/>
  <c r="F90" i="3" s="1"/>
  <c r="C90" i="3"/>
  <c r="D90" i="3" s="1"/>
  <c r="E90" i="3" s="1"/>
  <c r="F91" i="3" s="1"/>
  <c r="G91" i="3" s="1"/>
  <c r="C91" i="3"/>
  <c r="D91" i="3" s="1"/>
  <c r="E91" i="3"/>
  <c r="F92" i="3" s="1"/>
  <c r="G92" i="3"/>
  <c r="C94" i="3"/>
  <c r="D94" i="3" s="1"/>
  <c r="E94" i="3"/>
  <c r="F95" i="3" s="1"/>
  <c r="C95" i="3"/>
  <c r="D95" i="3" s="1"/>
  <c r="E95" i="3"/>
  <c r="F96" i="3" s="1"/>
  <c r="G96" i="3" s="1"/>
  <c r="C97" i="3"/>
  <c r="D97" i="3" s="1"/>
  <c r="E97" i="3"/>
  <c r="F98" i="3" s="1"/>
  <c r="C98" i="3"/>
  <c r="D98" i="3" s="1"/>
  <c r="E98" i="3"/>
  <c r="F99" i="3" s="1"/>
  <c r="G99" i="3" s="1"/>
  <c r="C99" i="3"/>
  <c r="D99" i="3"/>
  <c r="E99" i="3" s="1"/>
  <c r="F100" i="3"/>
  <c r="G100" i="3" s="1"/>
  <c r="C102" i="3"/>
  <c r="D102" i="3" s="1"/>
  <c r="E102" i="3"/>
  <c r="F103" i="3" s="1"/>
  <c r="C103" i="3"/>
  <c r="D103" i="3" s="1"/>
  <c r="E103" i="3"/>
  <c r="F104" i="3" s="1"/>
  <c r="G104" i="3" s="1"/>
  <c r="C4" i="3"/>
  <c r="D4" i="3"/>
  <c r="E4" i="3" s="1"/>
  <c r="F5" i="3" s="1"/>
  <c r="G5" i="3" s="1"/>
  <c r="G104" i="2"/>
  <c r="E107" i="1"/>
  <c r="G102" i="3"/>
  <c r="G97" i="3"/>
  <c r="G4" i="3"/>
  <c r="F6" i="3"/>
  <c r="G6" i="3" s="1"/>
  <c r="G95" i="3" l="1"/>
  <c r="G90" i="3"/>
  <c r="G94" i="3"/>
  <c r="G103" i="3"/>
  <c r="G98" i="3"/>
  <c r="F7" i="3"/>
  <c r="G7" i="3" s="1"/>
  <c r="F7" i="4"/>
  <c r="K6" i="4"/>
  <c r="G6" i="4"/>
  <c r="K4" i="4"/>
  <c r="G5" i="4"/>
  <c r="K5" i="4" s="1"/>
  <c r="F8" i="3" l="1"/>
  <c r="G7" i="4"/>
  <c r="K7" i="4" s="1"/>
  <c r="F8" i="4"/>
  <c r="G8" i="4" l="1"/>
  <c r="K8" i="4" s="1"/>
  <c r="F9" i="4"/>
  <c r="F9" i="3"/>
  <c r="G8" i="3"/>
  <c r="G9" i="3" l="1"/>
  <c r="F10" i="3"/>
  <c r="K9" i="4"/>
  <c r="G9" i="4"/>
  <c r="F10" i="4"/>
  <c r="F11" i="4" l="1"/>
  <c r="G10" i="4"/>
  <c r="K10" i="4" s="1"/>
  <c r="G10" i="3"/>
  <c r="F11" i="3"/>
  <c r="F12" i="4" l="1"/>
  <c r="G11" i="4"/>
  <c r="K11" i="4" s="1"/>
  <c r="G11" i="3"/>
  <c r="F12" i="3"/>
  <c r="G12" i="4" l="1"/>
  <c r="K12" i="4"/>
  <c r="F13" i="4"/>
  <c r="G12" i="3"/>
  <c r="F13" i="3"/>
  <c r="G13" i="4" l="1"/>
  <c r="K13" i="4" s="1"/>
  <c r="F14" i="4"/>
  <c r="G13" i="3"/>
  <c r="F14" i="3"/>
  <c r="F15" i="4" l="1"/>
  <c r="G14" i="4"/>
  <c r="K14" i="4" s="1"/>
  <c r="G14" i="3"/>
  <c r="F15" i="3"/>
  <c r="G15" i="3" l="1"/>
  <c r="F16" i="3"/>
  <c r="F16" i="4"/>
  <c r="G15" i="4"/>
  <c r="K15" i="4"/>
  <c r="G16" i="4" l="1"/>
  <c r="K16" i="4" s="1"/>
  <c r="F17" i="4"/>
  <c r="G16" i="3"/>
  <c r="F17" i="3"/>
  <c r="G17" i="3" l="1"/>
  <c r="F18" i="3"/>
  <c r="F18" i="4"/>
  <c r="G17" i="4"/>
  <c r="K17" i="4" s="1"/>
  <c r="F19" i="4" l="1"/>
  <c r="G18" i="4"/>
  <c r="K18" i="4"/>
  <c r="G18" i="3"/>
  <c r="F19" i="3"/>
  <c r="G19" i="3" l="1"/>
  <c r="F20" i="3"/>
  <c r="G19" i="4"/>
  <c r="K19" i="4" s="1"/>
  <c r="F20" i="4"/>
  <c r="G20" i="4" l="1"/>
  <c r="K20" i="4"/>
  <c r="F21" i="4"/>
  <c r="G20" i="3"/>
  <c r="F21" i="3"/>
  <c r="G21" i="4" l="1"/>
  <c r="F22" i="4"/>
  <c r="K21" i="4"/>
  <c r="G21" i="3"/>
  <c r="F22" i="3"/>
  <c r="G22" i="4" l="1"/>
  <c r="K22" i="4" s="1"/>
  <c r="F23" i="4"/>
  <c r="G22" i="3"/>
  <c r="F23" i="3"/>
  <c r="G23" i="3" l="1"/>
  <c r="F24" i="3"/>
  <c r="G23" i="4"/>
  <c r="K23" i="4" s="1"/>
  <c r="F24" i="4"/>
  <c r="G24" i="3" l="1"/>
  <c r="F25" i="3"/>
  <c r="G24" i="4"/>
  <c r="K24" i="4" s="1"/>
  <c r="F25" i="4"/>
  <c r="G25" i="3" l="1"/>
  <c r="F26" i="3"/>
  <c r="G25" i="4"/>
  <c r="K25" i="4" s="1"/>
  <c r="F26" i="4"/>
  <c r="G26" i="4" l="1"/>
  <c r="K26" i="4"/>
  <c r="F27" i="4"/>
  <c r="G26" i="3"/>
  <c r="F27" i="3"/>
  <c r="G27" i="4" l="1"/>
  <c r="K27" i="4" s="1"/>
  <c r="F28" i="4"/>
  <c r="G27" i="3"/>
  <c r="F28" i="3"/>
  <c r="G28" i="4" l="1"/>
  <c r="K28" i="4"/>
  <c r="F29" i="4"/>
  <c r="G28" i="3"/>
  <c r="F29" i="3"/>
  <c r="G29" i="4" l="1"/>
  <c r="K29" i="4" s="1"/>
  <c r="F30" i="4"/>
  <c r="G29" i="3"/>
  <c r="F30" i="3"/>
  <c r="G30" i="3" l="1"/>
  <c r="F31" i="3"/>
  <c r="G30" i="4"/>
  <c r="K30" i="4" s="1"/>
  <c r="F31" i="4"/>
  <c r="G31" i="3" l="1"/>
  <c r="F32" i="3"/>
  <c r="G31" i="4"/>
  <c r="K31" i="4"/>
  <c r="F32" i="4"/>
  <c r="G32" i="3" l="1"/>
  <c r="F33" i="3"/>
  <c r="G32" i="4"/>
  <c r="K32" i="4"/>
  <c r="F33" i="4"/>
  <c r="G33" i="3" l="1"/>
  <c r="F34" i="3"/>
  <c r="G33" i="4"/>
  <c r="F34" i="4"/>
  <c r="K33" i="4"/>
  <c r="G34" i="4" l="1"/>
  <c r="K34" i="4"/>
  <c r="F35" i="4"/>
  <c r="G34" i="3"/>
  <c r="F35" i="3"/>
  <c r="G35" i="3" l="1"/>
  <c r="F36" i="3"/>
  <c r="G35" i="4"/>
  <c r="K35" i="4"/>
  <c r="F36" i="4"/>
  <c r="G36" i="4" l="1"/>
  <c r="K36" i="4" s="1"/>
  <c r="F37" i="4"/>
  <c r="G36" i="3"/>
  <c r="F37" i="3"/>
  <c r="G37" i="3" l="1"/>
  <c r="F38" i="3"/>
  <c r="G37" i="4"/>
  <c r="K37" i="4" s="1"/>
  <c r="F38" i="4"/>
  <c r="G38" i="3" l="1"/>
  <c r="F39" i="3"/>
  <c r="G38" i="4"/>
  <c r="K38" i="4"/>
  <c r="F39" i="4"/>
  <c r="G39" i="3" l="1"/>
  <c r="F40" i="3"/>
  <c r="G39" i="4"/>
  <c r="K39" i="4" s="1"/>
  <c r="F40" i="4"/>
  <c r="G40" i="3" l="1"/>
  <c r="F41" i="3"/>
  <c r="G40" i="4"/>
  <c r="K40" i="4" s="1"/>
  <c r="F41" i="4"/>
  <c r="G41" i="3" l="1"/>
  <c r="F42" i="3"/>
  <c r="G41" i="4"/>
  <c r="F42" i="4"/>
  <c r="K41" i="4"/>
  <c r="G42" i="4" l="1"/>
  <c r="K42" i="4"/>
  <c r="F43" i="4"/>
  <c r="G42" i="3"/>
  <c r="F43" i="3"/>
  <c r="G43" i="4" l="1"/>
  <c r="K43" i="4"/>
  <c r="F44" i="4"/>
  <c r="G43" i="3"/>
  <c r="F44" i="3"/>
  <c r="G44" i="4" l="1"/>
  <c r="K44" i="4" s="1"/>
  <c r="F45" i="4"/>
  <c r="G44" i="3"/>
  <c r="F45" i="3"/>
  <c r="G45" i="3" l="1"/>
  <c r="F46" i="3"/>
  <c r="G45" i="4"/>
  <c r="F46" i="4"/>
  <c r="K45" i="4"/>
  <c r="G46" i="3" l="1"/>
  <c r="F47" i="3"/>
  <c r="G46" i="4"/>
  <c r="K46" i="4"/>
  <c r="F47" i="4"/>
  <c r="G47" i="4" l="1"/>
  <c r="K47" i="4" s="1"/>
  <c r="F48" i="4"/>
  <c r="G47" i="3"/>
  <c r="F48" i="3"/>
  <c r="G48" i="4" l="1"/>
  <c r="K48" i="4"/>
  <c r="F49" i="4"/>
  <c r="G48" i="3"/>
  <c r="F49" i="3"/>
  <c r="G49" i="3" l="1"/>
  <c r="F50" i="3"/>
  <c r="G49" i="4"/>
  <c r="F50" i="4"/>
  <c r="K49" i="4"/>
  <c r="G50" i="4" l="1"/>
  <c r="K50" i="4" s="1"/>
  <c r="F51" i="4"/>
  <c r="G50" i="3"/>
  <c r="F51" i="3"/>
  <c r="G51" i="3" l="1"/>
  <c r="F52" i="3"/>
  <c r="G51" i="4"/>
  <c r="K51" i="4"/>
  <c r="F52" i="4"/>
  <c r="G52" i="4" l="1"/>
  <c r="K52" i="4"/>
  <c r="F53" i="4"/>
  <c r="G52" i="3"/>
  <c r="F53" i="3"/>
  <c r="G53" i="4" l="1"/>
  <c r="K53" i="4" s="1"/>
  <c r="F54" i="4"/>
  <c r="G53" i="3"/>
  <c r="F54" i="3"/>
  <c r="G54" i="3" l="1"/>
  <c r="F55" i="3"/>
  <c r="G54" i="4"/>
  <c r="K54" i="4"/>
  <c r="F55" i="4"/>
  <c r="G55" i="4" l="1"/>
  <c r="K55" i="4"/>
  <c r="F56" i="4"/>
  <c r="G55" i="3"/>
  <c r="F56" i="3"/>
  <c r="G56" i="4" l="1"/>
  <c r="K56" i="4"/>
  <c r="F57" i="4"/>
  <c r="G56" i="3"/>
  <c r="F57" i="3"/>
  <c r="G57" i="3" l="1"/>
  <c r="F58" i="3"/>
  <c r="G57" i="4"/>
  <c r="F58" i="4"/>
  <c r="K57" i="4"/>
  <c r="G58" i="3" l="1"/>
  <c r="F59" i="3"/>
  <c r="G58" i="4"/>
  <c r="K58" i="4" s="1"/>
  <c r="F59" i="4"/>
  <c r="G59" i="4" l="1"/>
  <c r="K59" i="4"/>
  <c r="F60" i="4"/>
  <c r="G59" i="3"/>
  <c r="F60" i="3"/>
  <c r="G60" i="4" l="1"/>
  <c r="K60" i="4"/>
  <c r="F61" i="4"/>
  <c r="G60" i="3"/>
  <c r="F61" i="3"/>
  <c r="G61" i="3" l="1"/>
  <c r="F62" i="3"/>
  <c r="G61" i="4"/>
  <c r="K61" i="4" s="1"/>
  <c r="F62" i="4"/>
  <c r="G62" i="4" l="1"/>
  <c r="F63" i="4"/>
  <c r="K62" i="4"/>
  <c r="G62" i="3"/>
  <c r="F63" i="3"/>
  <c r="G63" i="4" l="1"/>
  <c r="K63" i="4" s="1"/>
  <c r="F64" i="4"/>
  <c r="G63" i="3"/>
  <c r="F64" i="3"/>
  <c r="G64" i="3" l="1"/>
  <c r="F65" i="3"/>
  <c r="G64" i="4"/>
  <c r="K64" i="4"/>
  <c r="F65" i="4"/>
  <c r="G65" i="4" l="1"/>
  <c r="K65" i="4" s="1"/>
  <c r="F66" i="4"/>
  <c r="G65" i="3"/>
  <c r="F66" i="3"/>
  <c r="G66" i="3" l="1"/>
  <c r="F67" i="3"/>
  <c r="G66" i="4"/>
  <c r="K66" i="4" s="1"/>
  <c r="F67" i="4"/>
  <c r="G67" i="4" l="1"/>
  <c r="K67" i="4" s="1"/>
  <c r="F68" i="4"/>
  <c r="G67" i="3"/>
  <c r="F68" i="3"/>
  <c r="G68" i="3" l="1"/>
  <c r="F69" i="3"/>
  <c r="G68" i="4"/>
  <c r="K68" i="4" s="1"/>
  <c r="F69" i="4"/>
  <c r="G69" i="3" l="1"/>
  <c r="F70" i="3"/>
  <c r="G69" i="4"/>
  <c r="F70" i="4"/>
  <c r="K69" i="4"/>
  <c r="G70" i="4" l="1"/>
  <c r="K70" i="4" s="1"/>
  <c r="F71" i="4"/>
  <c r="G70" i="3"/>
  <c r="F71" i="3"/>
  <c r="G71" i="3" l="1"/>
  <c r="F72" i="3"/>
  <c r="G71" i="4"/>
  <c r="K71" i="4" s="1"/>
  <c r="F72" i="4"/>
  <c r="G72" i="4" l="1"/>
  <c r="K72" i="4"/>
  <c r="F73" i="4"/>
  <c r="G72" i="3"/>
  <c r="F73" i="3"/>
  <c r="G73" i="4" l="1"/>
  <c r="K73" i="4" s="1"/>
  <c r="F74" i="4"/>
  <c r="G73" i="3"/>
  <c r="F74" i="3"/>
  <c r="G74" i="3" l="1"/>
  <c r="F75" i="3"/>
  <c r="G74" i="4"/>
  <c r="K74" i="4" s="1"/>
  <c r="F75" i="4"/>
  <c r="G75" i="3" l="1"/>
  <c r="F76" i="3"/>
  <c r="G75" i="4"/>
  <c r="K75" i="4" s="1"/>
  <c r="F76" i="4"/>
  <c r="G76" i="3" l="1"/>
  <c r="F77" i="3"/>
  <c r="G76" i="4"/>
  <c r="K76" i="4" s="1"/>
  <c r="F77" i="4"/>
  <c r="G77" i="3" l="1"/>
  <c r="F78" i="3"/>
  <c r="G77" i="4"/>
  <c r="K77" i="4" s="1"/>
  <c r="F78" i="4"/>
  <c r="G78" i="4" l="1"/>
  <c r="F79" i="4"/>
  <c r="K78" i="4"/>
  <c r="G78" i="3"/>
  <c r="F79" i="3"/>
  <c r="G79" i="4" l="1"/>
  <c r="K79" i="4"/>
  <c r="F80" i="4"/>
  <c r="G79" i="3"/>
  <c r="F80" i="3"/>
  <c r="G80" i="4" l="1"/>
  <c r="K80" i="4"/>
  <c r="F81" i="4"/>
  <c r="G80" i="3"/>
  <c r="F81" i="3"/>
  <c r="G81" i="3" l="1"/>
  <c r="F82" i="3"/>
  <c r="G81" i="4"/>
  <c r="K81" i="4" s="1"/>
  <c r="F82" i="4"/>
  <c r="G82" i="4" l="1"/>
  <c r="K82" i="4" s="1"/>
  <c r="F83" i="4"/>
  <c r="G82" i="3"/>
  <c r="F83" i="3"/>
  <c r="G83" i="4" l="1"/>
  <c r="K83" i="4"/>
  <c r="F84" i="4"/>
  <c r="G83" i="3"/>
  <c r="F84" i="3"/>
  <c r="F85" i="4" l="1"/>
  <c r="G84" i="4"/>
  <c r="K84" i="4" s="1"/>
  <c r="G84" i="3"/>
  <c r="F85" i="3"/>
  <c r="G85" i="3" l="1"/>
  <c r="F86" i="3"/>
  <c r="F86" i="4"/>
  <c r="G85" i="4"/>
  <c r="K85" i="4" s="1"/>
  <c r="G86" i="3" l="1"/>
  <c r="F87" i="3"/>
  <c r="F87" i="4"/>
  <c r="G86" i="4"/>
  <c r="K86" i="4" s="1"/>
  <c r="G87" i="4" l="1"/>
  <c r="K87" i="4"/>
  <c r="F88" i="4"/>
  <c r="G87" i="3"/>
  <c r="F88" i="3"/>
  <c r="G88" i="4" l="1"/>
  <c r="K88" i="4" s="1"/>
  <c r="F89" i="4"/>
  <c r="F89" i="3"/>
  <c r="G89" i="3" s="1"/>
  <c r="G88" i="3"/>
  <c r="K89" i="4" l="1"/>
  <c r="M86" i="4" s="1"/>
  <c r="O86" i="4" s="1"/>
  <c r="P86" i="4" s="1"/>
  <c r="G89" i="4"/>
  <c r="M87" i="4" l="1"/>
  <c r="O87" i="4" s="1"/>
  <c r="P87" i="4" s="1"/>
  <c r="M89" i="4"/>
  <c r="O89" i="4" s="1"/>
  <c r="P89" i="4" s="1"/>
  <c r="M5" i="4"/>
  <c r="O5" i="4" s="1"/>
  <c r="P5" i="4" s="1"/>
  <c r="M4" i="4"/>
  <c r="O4" i="4" s="1"/>
  <c r="P4" i="4" s="1"/>
  <c r="M6" i="4"/>
  <c r="O6" i="4" s="1"/>
  <c r="P6" i="4" s="1"/>
  <c r="M7" i="4"/>
  <c r="O7" i="4" s="1"/>
  <c r="P7" i="4" s="1"/>
  <c r="M9" i="4"/>
  <c r="O9" i="4" s="1"/>
  <c r="P9" i="4" s="1"/>
  <c r="M8" i="4"/>
  <c r="O8" i="4" s="1"/>
  <c r="P8" i="4" s="1"/>
  <c r="M10" i="4"/>
  <c r="O10" i="4" s="1"/>
  <c r="P10" i="4" s="1"/>
  <c r="M12" i="4"/>
  <c r="O12" i="4" s="1"/>
  <c r="P12" i="4" s="1"/>
  <c r="M11" i="4"/>
  <c r="O11" i="4" s="1"/>
  <c r="P11" i="4" s="1"/>
  <c r="M13" i="4"/>
  <c r="O13" i="4" s="1"/>
  <c r="P13" i="4" s="1"/>
  <c r="M15" i="4"/>
  <c r="O15" i="4" s="1"/>
  <c r="P15" i="4" s="1"/>
  <c r="M14" i="4"/>
  <c r="O14" i="4" s="1"/>
  <c r="P14" i="4" s="1"/>
  <c r="M16" i="4"/>
  <c r="O16" i="4" s="1"/>
  <c r="P16" i="4" s="1"/>
  <c r="M18" i="4"/>
  <c r="O18" i="4" s="1"/>
  <c r="P18" i="4" s="1"/>
  <c r="M17" i="4"/>
  <c r="O17" i="4" s="1"/>
  <c r="P17" i="4" s="1"/>
  <c r="M19" i="4"/>
  <c r="O19" i="4" s="1"/>
  <c r="P19" i="4" s="1"/>
  <c r="M20" i="4"/>
  <c r="O20" i="4" s="1"/>
  <c r="P20" i="4" s="1"/>
  <c r="M21" i="4"/>
  <c r="O21" i="4" s="1"/>
  <c r="P21" i="4" s="1"/>
  <c r="M22" i="4"/>
  <c r="O22" i="4" s="1"/>
  <c r="P22" i="4" s="1"/>
  <c r="M23" i="4"/>
  <c r="O23" i="4" s="1"/>
  <c r="P23" i="4" s="1"/>
  <c r="M24" i="4"/>
  <c r="O24" i="4" s="1"/>
  <c r="P24" i="4" s="1"/>
  <c r="M26" i="4"/>
  <c r="O26" i="4" s="1"/>
  <c r="P26" i="4" s="1"/>
  <c r="M25" i="4"/>
  <c r="O25" i="4" s="1"/>
  <c r="P25" i="4" s="1"/>
  <c r="M28" i="4"/>
  <c r="O28" i="4" s="1"/>
  <c r="P28" i="4" s="1"/>
  <c r="M27" i="4"/>
  <c r="O27" i="4" s="1"/>
  <c r="P27" i="4" s="1"/>
  <c r="M31" i="4"/>
  <c r="O31" i="4" s="1"/>
  <c r="P31" i="4" s="1"/>
  <c r="M32" i="4"/>
  <c r="O32" i="4" s="1"/>
  <c r="P32" i="4" s="1"/>
  <c r="M29" i="4"/>
  <c r="O29" i="4" s="1"/>
  <c r="P29" i="4" s="1"/>
  <c r="M30" i="4"/>
  <c r="O30" i="4" s="1"/>
  <c r="P30" i="4" s="1"/>
  <c r="M34" i="4"/>
  <c r="O34" i="4" s="1"/>
  <c r="P34" i="4" s="1"/>
  <c r="M33" i="4"/>
  <c r="O33" i="4" s="1"/>
  <c r="P33" i="4" s="1"/>
  <c r="M35" i="4"/>
  <c r="O35" i="4" s="1"/>
  <c r="P35" i="4" s="1"/>
  <c r="M36" i="4"/>
  <c r="O36" i="4" s="1"/>
  <c r="P36" i="4" s="1"/>
  <c r="M38" i="4"/>
  <c r="O38" i="4" s="1"/>
  <c r="P38" i="4" s="1"/>
  <c r="M37" i="4"/>
  <c r="O37" i="4" s="1"/>
  <c r="P37" i="4" s="1"/>
  <c r="M39" i="4"/>
  <c r="O39" i="4" s="1"/>
  <c r="P39" i="4" s="1"/>
  <c r="M40" i="4"/>
  <c r="O40" i="4" s="1"/>
  <c r="P40" i="4" s="1"/>
  <c r="M41" i="4"/>
  <c r="O41" i="4" s="1"/>
  <c r="P41" i="4" s="1"/>
  <c r="M43" i="4"/>
  <c r="O43" i="4" s="1"/>
  <c r="P43" i="4" s="1"/>
  <c r="M42" i="4"/>
  <c r="O42" i="4" s="1"/>
  <c r="P42" i="4" s="1"/>
  <c r="M45" i="4"/>
  <c r="O45" i="4" s="1"/>
  <c r="P45" i="4" s="1"/>
  <c r="M44" i="4"/>
  <c r="O44" i="4" s="1"/>
  <c r="P44" i="4" s="1"/>
  <c r="M46" i="4"/>
  <c r="O46" i="4" s="1"/>
  <c r="P46" i="4" s="1"/>
  <c r="M48" i="4"/>
  <c r="O48" i="4" s="1"/>
  <c r="P48" i="4" s="1"/>
  <c r="M47" i="4"/>
  <c r="O47" i="4" s="1"/>
  <c r="P47" i="4" s="1"/>
  <c r="M49" i="4"/>
  <c r="O49" i="4" s="1"/>
  <c r="P49" i="4" s="1"/>
  <c r="M52" i="4"/>
  <c r="O52" i="4" s="1"/>
  <c r="P52" i="4" s="1"/>
  <c r="M50" i="4"/>
  <c r="O50" i="4" s="1"/>
  <c r="P50" i="4" s="1"/>
  <c r="M51" i="4"/>
  <c r="O51" i="4" s="1"/>
  <c r="P51" i="4" s="1"/>
  <c r="M55" i="4"/>
  <c r="O55" i="4" s="1"/>
  <c r="P55" i="4" s="1"/>
  <c r="M54" i="4"/>
  <c r="O54" i="4" s="1"/>
  <c r="P54" i="4" s="1"/>
  <c r="M53" i="4"/>
  <c r="O53" i="4" s="1"/>
  <c r="P53" i="4" s="1"/>
  <c r="M57" i="4"/>
  <c r="O57" i="4" s="1"/>
  <c r="P57" i="4" s="1"/>
  <c r="M56" i="4"/>
  <c r="O56" i="4" s="1"/>
  <c r="P56" i="4" s="1"/>
  <c r="M60" i="4"/>
  <c r="O60" i="4" s="1"/>
  <c r="P60" i="4" s="1"/>
  <c r="M58" i="4"/>
  <c r="O58" i="4" s="1"/>
  <c r="P58" i="4" s="1"/>
  <c r="M59" i="4"/>
  <c r="O59" i="4" s="1"/>
  <c r="P59" i="4" s="1"/>
  <c r="M62" i="4"/>
  <c r="O62" i="4" s="1"/>
  <c r="P62" i="4" s="1"/>
  <c r="M61" i="4"/>
  <c r="O61" i="4" s="1"/>
  <c r="P61" i="4" s="1"/>
  <c r="M63" i="4"/>
  <c r="O63" i="4" s="1"/>
  <c r="P63" i="4" s="1"/>
  <c r="M64" i="4"/>
  <c r="O64" i="4" s="1"/>
  <c r="P64" i="4" s="1"/>
  <c r="M65" i="4"/>
  <c r="O65" i="4" s="1"/>
  <c r="P65" i="4" s="1"/>
  <c r="M66" i="4"/>
  <c r="O66" i="4" s="1"/>
  <c r="P66" i="4" s="1"/>
  <c r="M67" i="4"/>
  <c r="O67" i="4" s="1"/>
  <c r="P67" i="4" s="1"/>
  <c r="M69" i="4"/>
  <c r="O69" i="4" s="1"/>
  <c r="P69" i="4" s="1"/>
  <c r="M68" i="4"/>
  <c r="O68" i="4" s="1"/>
  <c r="P68" i="4" s="1"/>
  <c r="M70" i="4"/>
  <c r="O70" i="4" s="1"/>
  <c r="P70" i="4" s="1"/>
  <c r="M72" i="4"/>
  <c r="O72" i="4" s="1"/>
  <c r="P72" i="4" s="1"/>
  <c r="M71" i="4"/>
  <c r="O71" i="4" s="1"/>
  <c r="P71" i="4" s="1"/>
  <c r="M73" i="4"/>
  <c r="O73" i="4" s="1"/>
  <c r="P73" i="4" s="1"/>
  <c r="M75" i="4"/>
  <c r="O75" i="4" s="1"/>
  <c r="P75" i="4" s="1"/>
  <c r="M74" i="4"/>
  <c r="O74" i="4" s="1"/>
  <c r="P74" i="4" s="1"/>
  <c r="M77" i="4"/>
  <c r="O77" i="4" s="1"/>
  <c r="P77" i="4" s="1"/>
  <c r="M76" i="4"/>
  <c r="O76" i="4" s="1"/>
  <c r="P76" i="4" s="1"/>
  <c r="M78" i="4"/>
  <c r="O78" i="4" s="1"/>
  <c r="P78" i="4" s="1"/>
  <c r="M80" i="4"/>
  <c r="O80" i="4" s="1"/>
  <c r="P80" i="4" s="1"/>
  <c r="M79" i="4"/>
  <c r="O79" i="4" s="1"/>
  <c r="P79" i="4" s="1"/>
  <c r="M81" i="4"/>
  <c r="O81" i="4" s="1"/>
  <c r="P81" i="4" s="1"/>
  <c r="M82" i="4"/>
  <c r="O82" i="4" s="1"/>
  <c r="P82" i="4" s="1"/>
  <c r="M83" i="4"/>
  <c r="O83" i="4" s="1"/>
  <c r="P83" i="4" s="1"/>
  <c r="M84" i="4"/>
  <c r="O84" i="4" s="1"/>
  <c r="P84" i="4" s="1"/>
  <c r="M85" i="4"/>
  <c r="O85" i="4" s="1"/>
  <c r="P85" i="4" s="1"/>
  <c r="M88" i="4"/>
  <c r="O88" i="4" s="1"/>
  <c r="P88" i="4" s="1"/>
  <c r="N4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K3" authorId="0" shapeId="0" xr:uid="{00000000-0006-0000-0300-000001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Using UDD assumption and formula from cdc methods article. Follow up on Elliot’s method</t>
        </r>
      </text>
    </comment>
    <comment ref="J4" authorId="0" shapeId="0" xr:uid="{00000000-0006-0000-0300-000002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Obtained from 2017 life table technical notes pg 81</t>
        </r>
      </text>
    </comment>
    <comment ref="B89" authorId="0" shapeId="0" xr:uid="{00000000-0006-0000-0300-000003000000}">
      <text>
        <r>
          <rPr>
            <sz val="11"/>
            <color theme="1"/>
            <rFont val="Calibri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.234763- average of 85-100 and 100+. Should Discuss with Lemiare. But all die after 85, eventaully
</t>
        </r>
      </text>
    </comment>
    <comment ref="K89" authorId="0" shapeId="0" xr:uid="{00000000-0006-0000-0300-000004000000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inserting end of table estimated from elliot’s paper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89" authorId="0" shapeId="0" xr:uid="{00000000-0006-0000-0400-000001000000}">
      <text>
        <r>
          <rPr>
            <sz val="11"/>
            <color theme="1"/>
            <rFont val="Calibri"/>
            <family val="2"/>
            <scheme val="minor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.234763- average of 85-100 and 100+. Should Discuss with Lemiare. But all die after 85, eventaully
</t>
        </r>
      </text>
    </comment>
    <comment ref="K89" authorId="0" shapeId="0" xr:uid="{00000000-0006-0000-0400-000002000000}">
      <text>
        <r>
          <rPr>
            <sz val="11"/>
            <color rgb="FF000000"/>
            <rFont val="Calibri"/>
            <family val="2"/>
          </rPr>
          <t xml:space="preserve">[Threaded comment]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Your version of Excel allows you to read this threaded comment; however, any edits to it will get removed if the file is opened in a newer version of Excel. Learn more: https://go.microsoft.com/fwlink/?linkid=870924
</t>
        </r>
        <r>
          <rPr>
            <sz val="11"/>
            <color rgb="FF000000"/>
            <rFont val="Calibri"/>
            <family val="2"/>
          </rPr>
          <t xml:space="preserve">
</t>
        </r>
        <r>
          <rPr>
            <sz val="11"/>
            <color rgb="FF000000"/>
            <rFont val="Calibri"/>
            <family val="2"/>
          </rPr>
          <t xml:space="preserve">Comment:
</t>
        </r>
        <r>
          <rPr>
            <sz val="11"/>
            <color rgb="FF000000"/>
            <rFont val="Calibri"/>
            <family val="2"/>
          </rPr>
          <t xml:space="preserve">    inserting end of table estimated from elliot’s paper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pioid Related Mortality by Age Year 2017-final" type="6" refreshedVersion="6" background="1" saveData="1">
    <textPr sourceFile="/Users/gabriellozano/Documents/JWS399/Opioid Related Mortality by Age Year 2017-final.txt">
      <textFields count="6"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<sst xmlns="http://schemas.openxmlformats.org/spreadsheetml/2006/main" count="715" uniqueCount="329">
  <si>
    <t>100 and over</t>
  </si>
  <si>
    <t>Age (years)</t>
  </si>
  <si>
    <t>SOURCE: NCHS, National Vital Statistics System, Mortality.</t>
  </si>
  <si>
    <t>Table 1. Life table for the total population: United States, 2017</t>
  </si>
  <si>
    <t>0–1</t>
  </si>
  <si>
    <t>1–2</t>
  </si>
  <si>
    <t>2–3</t>
  </si>
  <si>
    <t>3–4</t>
  </si>
  <si>
    <t>4–5</t>
  </si>
  <si>
    <t>5–6</t>
  </si>
  <si>
    <t>6–7</t>
  </si>
  <si>
    <t>7–8</t>
  </si>
  <si>
    <t>8–9</t>
  </si>
  <si>
    <t>9–10</t>
  </si>
  <si>
    <t>10–11</t>
  </si>
  <si>
    <t>11–12</t>
  </si>
  <si>
    <t>12–13</t>
  </si>
  <si>
    <t>13–14</t>
  </si>
  <si>
    <t>14–15</t>
  </si>
  <si>
    <t>15–16</t>
  </si>
  <si>
    <t>16–17</t>
  </si>
  <si>
    <t>17–18</t>
  </si>
  <si>
    <t>18–19</t>
  </si>
  <si>
    <t>19–20</t>
  </si>
  <si>
    <t>20–21</t>
  </si>
  <si>
    <t>21–22</t>
  </si>
  <si>
    <t>22–23</t>
  </si>
  <si>
    <t>23–24</t>
  </si>
  <si>
    <t>24–25</t>
  </si>
  <si>
    <t>25–26</t>
  </si>
  <si>
    <t>26–27</t>
  </si>
  <si>
    <t>27–28</t>
  </si>
  <si>
    <t>28–29</t>
  </si>
  <si>
    <t>29–30</t>
  </si>
  <si>
    <t>30–31</t>
  </si>
  <si>
    <t>31–32</t>
  </si>
  <si>
    <t>32–33</t>
  </si>
  <si>
    <t>33–34</t>
  </si>
  <si>
    <t>34–35</t>
  </si>
  <si>
    <t>35–36</t>
  </si>
  <si>
    <t>36–37</t>
  </si>
  <si>
    <t>37–38</t>
  </si>
  <si>
    <t>38–39</t>
  </si>
  <si>
    <t>39–40</t>
  </si>
  <si>
    <t>40–41</t>
  </si>
  <si>
    <t>41–42</t>
  </si>
  <si>
    <t>42–43</t>
  </si>
  <si>
    <t>43–44</t>
  </si>
  <si>
    <t>44–45</t>
  </si>
  <si>
    <t>45–46</t>
  </si>
  <si>
    <t>46–47</t>
  </si>
  <si>
    <t>47–48</t>
  </si>
  <si>
    <t>48–49</t>
  </si>
  <si>
    <t>49–50</t>
  </si>
  <si>
    <t>50–51</t>
  </si>
  <si>
    <t>51–52</t>
  </si>
  <si>
    <t>52–53</t>
  </si>
  <si>
    <t>53–54</t>
  </si>
  <si>
    <t>54–55</t>
  </si>
  <si>
    <t>55–56</t>
  </si>
  <si>
    <t>56–57</t>
  </si>
  <si>
    <t>57–58</t>
  </si>
  <si>
    <t>58–59</t>
  </si>
  <si>
    <t>59–60</t>
  </si>
  <si>
    <t>60–61</t>
  </si>
  <si>
    <t>61–62</t>
  </si>
  <si>
    <t>62–63</t>
  </si>
  <si>
    <t>63–64</t>
  </si>
  <si>
    <t>64–65</t>
  </si>
  <si>
    <t>65–66</t>
  </si>
  <si>
    <t>66–67</t>
  </si>
  <si>
    <t>67–68</t>
  </si>
  <si>
    <t>68–69</t>
  </si>
  <si>
    <t>69–70</t>
  </si>
  <si>
    <t>70–71</t>
  </si>
  <si>
    <t>71–72</t>
  </si>
  <si>
    <t>72–73</t>
  </si>
  <si>
    <t>73–74</t>
  </si>
  <si>
    <t>74–75</t>
  </si>
  <si>
    <t>75–76</t>
  </si>
  <si>
    <t>76–77</t>
  </si>
  <si>
    <t>77–78</t>
  </si>
  <si>
    <t>78–79</t>
  </si>
  <si>
    <t>79–80</t>
  </si>
  <si>
    <t>80–81</t>
  </si>
  <si>
    <t>81–82</t>
  </si>
  <si>
    <t>82–83</t>
  </si>
  <si>
    <t>83–84</t>
  </si>
  <si>
    <t>84–85</t>
  </si>
  <si>
    <t>85–86</t>
  </si>
  <si>
    <t>86–87</t>
  </si>
  <si>
    <t>87–88</t>
  </si>
  <si>
    <t>88–89</t>
  </si>
  <si>
    <t>89–90</t>
  </si>
  <si>
    <t>90–91</t>
  </si>
  <si>
    <t>91–92</t>
  </si>
  <si>
    <t>92–93</t>
  </si>
  <si>
    <t>93–94</t>
  </si>
  <si>
    <t>94–95</t>
  </si>
  <si>
    <t>95–96</t>
  </si>
  <si>
    <t>96–97</t>
  </si>
  <si>
    <t>97–98</t>
  </si>
  <si>
    <t>98–99</t>
  </si>
  <si>
    <t>99–100</t>
  </si>
  <si>
    <r>
      <t xml:space="preserve">Probability of dying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</si>
  <si>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 xml:space="preserve">Number surviving to age </t>
    </r>
    <r>
      <rPr>
        <i/>
        <sz val="10"/>
        <color theme="1"/>
        <rFont val="Calibri"/>
        <family val="2"/>
        <scheme val="minor"/>
      </rPr>
      <t>x</t>
    </r>
  </si>
  <si>
    <r>
      <t xml:space="preserve">Number dying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</si>
  <si>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 xml:space="preserve">Person-years lived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</si>
  <si>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 xml:space="preserve">Total number of person-years lived above age </t>
    </r>
    <r>
      <rPr>
        <i/>
        <sz val="10"/>
        <color theme="1"/>
        <rFont val="Calibri"/>
        <family val="2"/>
        <scheme val="minor"/>
      </rPr>
      <t>x</t>
    </r>
  </si>
  <si>
    <r>
      <t xml:space="preserve">Expectation of life at age </t>
    </r>
    <r>
      <rPr>
        <i/>
        <sz val="10"/>
        <color theme="1"/>
        <rFont val="Calibri"/>
        <family val="2"/>
        <scheme val="minor"/>
      </rPr>
      <t>x</t>
    </r>
  </si>
  <si>
    <r>
      <t>q</t>
    </r>
    <r>
      <rPr>
        <i/>
        <vertAlign val="subscript"/>
        <sz val="10"/>
        <color theme="1"/>
        <rFont val="Calibri"/>
        <family val="2"/>
        <scheme val="minor"/>
      </rPr>
      <t>x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</si>
  <si>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</si>
  <si>
    <r>
      <t>d</t>
    </r>
    <r>
      <rPr>
        <i/>
        <vertAlign val="subscript"/>
        <sz val="10"/>
        <color theme="1"/>
        <rFont val="Calibri"/>
        <family val="2"/>
        <scheme val="minor"/>
      </rPr>
      <t>x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</si>
  <si>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</si>
  <si>
    <r>
      <t>T</t>
    </r>
    <r>
      <rPr>
        <i/>
        <vertAlign val="subscript"/>
        <sz val="10"/>
        <color theme="1"/>
        <rFont val="Calibri"/>
        <family val="2"/>
        <scheme val="minor"/>
      </rPr>
      <t>x</t>
    </r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</si>
  <si>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</si>
  <si>
    <t>Notes</t>
  </si>
  <si>
    <t>Single-Year Ages</t>
  </si>
  <si>
    <t>Single-Year Ages Code</t>
  </si>
  <si>
    <t>Deaths</t>
  </si>
  <si>
    <t>Population</t>
  </si>
  <si>
    <t>Crude Rate</t>
  </si>
  <si>
    <t>&lt; 1 year</t>
  </si>
  <si>
    <t>Unreliable</t>
  </si>
  <si>
    <t>1 year</t>
  </si>
  <si>
    <t>2 years</t>
  </si>
  <si>
    <t>3 years</t>
  </si>
  <si>
    <t>4 years</t>
  </si>
  <si>
    <t>5 years</t>
  </si>
  <si>
    <t>6 years</t>
  </si>
  <si>
    <t>7 years</t>
  </si>
  <si>
    <t>8 years</t>
  </si>
  <si>
    <t>9 years</t>
  </si>
  <si>
    <t>10 years</t>
  </si>
  <si>
    <t>11 years</t>
  </si>
  <si>
    <t>12 years</t>
  </si>
  <si>
    <t>13 years</t>
  </si>
  <si>
    <t>14 years</t>
  </si>
  <si>
    <t>15 years</t>
  </si>
  <si>
    <t>16 years</t>
  </si>
  <si>
    <t>17 years</t>
  </si>
  <si>
    <t>18 years</t>
  </si>
  <si>
    <t>19 years</t>
  </si>
  <si>
    <t>20 years</t>
  </si>
  <si>
    <t>21 years</t>
  </si>
  <si>
    <t>22 years</t>
  </si>
  <si>
    <t>23 years</t>
  </si>
  <si>
    <t>24 years</t>
  </si>
  <si>
    <t>25 years</t>
  </si>
  <si>
    <t>26 years</t>
  </si>
  <si>
    <t>27 years</t>
  </si>
  <si>
    <t>28 years</t>
  </si>
  <si>
    <t>29 years</t>
  </si>
  <si>
    <t>30 years</t>
  </si>
  <si>
    <t>31 years</t>
  </si>
  <si>
    <t>32 years</t>
  </si>
  <si>
    <t>33 years</t>
  </si>
  <si>
    <t>34 years</t>
  </si>
  <si>
    <t>35 years</t>
  </si>
  <si>
    <t>36 years</t>
  </si>
  <si>
    <t>37 years</t>
  </si>
  <si>
    <t>38 years</t>
  </si>
  <si>
    <t>39 years</t>
  </si>
  <si>
    <t>40 years</t>
  </si>
  <si>
    <t>41 years</t>
  </si>
  <si>
    <t>42 years</t>
  </si>
  <si>
    <t>43 years</t>
  </si>
  <si>
    <t>44 years</t>
  </si>
  <si>
    <t>45 years</t>
  </si>
  <si>
    <t>46 years</t>
  </si>
  <si>
    <t>47 years</t>
  </si>
  <si>
    <t>48 years</t>
  </si>
  <si>
    <t>49 years</t>
  </si>
  <si>
    <t>50 years</t>
  </si>
  <si>
    <t>51 years</t>
  </si>
  <si>
    <t>52 years</t>
  </si>
  <si>
    <t>53 years</t>
  </si>
  <si>
    <t>54 years</t>
  </si>
  <si>
    <t>55 years</t>
  </si>
  <si>
    <t>56 years</t>
  </si>
  <si>
    <t>57 years</t>
  </si>
  <si>
    <t>58 years</t>
  </si>
  <si>
    <t>59 years</t>
  </si>
  <si>
    <t>60 years</t>
  </si>
  <si>
    <t>61 years</t>
  </si>
  <si>
    <t>62 years</t>
  </si>
  <si>
    <t>63 years</t>
  </si>
  <si>
    <t>64 years</t>
  </si>
  <si>
    <t>65 years</t>
  </si>
  <si>
    <t>66 years</t>
  </si>
  <si>
    <t>67 years</t>
  </si>
  <si>
    <t>68 years</t>
  </si>
  <si>
    <t>69 years</t>
  </si>
  <si>
    <t>70 years</t>
  </si>
  <si>
    <t>71 years</t>
  </si>
  <si>
    <t>72 years</t>
  </si>
  <si>
    <t>73 years</t>
  </si>
  <si>
    <t>74 years</t>
  </si>
  <si>
    <t>75 years</t>
  </si>
  <si>
    <t>76 years</t>
  </si>
  <si>
    <t>77 years</t>
  </si>
  <si>
    <t>78 years</t>
  </si>
  <si>
    <t>79 years</t>
  </si>
  <si>
    <t>80 years</t>
  </si>
  <si>
    <t>81 years</t>
  </si>
  <si>
    <t>82 years</t>
  </si>
  <si>
    <t>83 years</t>
  </si>
  <si>
    <t>84 years</t>
  </si>
  <si>
    <t>85 years</t>
  </si>
  <si>
    <t>Not Applicable</t>
  </si>
  <si>
    <t>86 years</t>
  </si>
  <si>
    <t>87 years</t>
  </si>
  <si>
    <t>88 years</t>
  </si>
  <si>
    <t>89 years</t>
  </si>
  <si>
    <t>90 years</t>
  </si>
  <si>
    <t>91 years</t>
  </si>
  <si>
    <t>92 years</t>
  </si>
  <si>
    <t>93 years</t>
  </si>
  <si>
    <t>94 years</t>
  </si>
  <si>
    <t>95 years</t>
  </si>
  <si>
    <t>96 years</t>
  </si>
  <si>
    <t>97 years</t>
  </si>
  <si>
    <t>98 years</t>
  </si>
  <si>
    <t>99 years</t>
  </si>
  <si>
    <t>100+ years</t>
  </si>
  <si>
    <t>Not Stated</t>
  </si>
  <si>
    <t>NS</t>
  </si>
  <si>
    <t>Total</t>
  </si>
  <si>
    <t>---</t>
  </si>
  <si>
    <t>Dataset: Multiple Cause of Death, 1999-2018</t>
  </si>
  <si>
    <t>Query Parameters:</t>
  </si>
  <si>
    <t>Title: Opioid Related Mortality by Age Year 2017</t>
  </si>
  <si>
    <t>MCD - ICD-10 Codes: T40.0 (Opium); T40.1 (Heroin); T40.2 (Other opioids); T40.3 (Methadone); T40.4 (Other synthetic narcotics);</t>
  </si>
  <si>
    <t>T40.6 (Other and unspecified narcotics)</t>
  </si>
  <si>
    <t>UCD - Drug/Alcohol Induced Causes: Drug poisonings (overdose) Unintentional (X40-X44); Drug poisonings (overdose) Suicide</t>
  </si>
  <si>
    <t>(X60-X64); Drug poisonings (overdose) Homicide (X85); Drug poisonings (overdose) Undetermined (Y10-Y14)</t>
  </si>
  <si>
    <t>Year/Month: 2017</t>
  </si>
  <si>
    <t>Group By: Single-Year Ages</t>
  </si>
  <si>
    <t>Show Totals: True</t>
  </si>
  <si>
    <t>Show Zero Values: True</t>
  </si>
  <si>
    <t>Show Suppressed: False</t>
  </si>
  <si>
    <t>Calculate Rates Per: 100,000</t>
  </si>
  <si>
    <t>Rate Options: Default intercensal populations for years 2001-2009 (except Infant Age Groups)</t>
  </si>
  <si>
    <t>Help: See http://wonder.cdc.gov/wonder/help/mcd.html for more information.</t>
  </si>
  <si>
    <t>Query Date: Feb 15, 2020 9:30:08 PM</t>
  </si>
  <si>
    <t>Suggested Citation: Centers for Disease Control and Prevention, National Center for Health Statistics. Multiple Cause of Death</t>
  </si>
  <si>
    <t>1999-2018 on CDC WONDER Online Database, released in 2020. Data are from the Multiple Cause of Death Files, 1999-2018, as</t>
  </si>
  <si>
    <t>compiled from data provided by the 57 vital statistics jurisdictions through the Vital Statistics Cooperative Program. Accessed</t>
  </si>
  <si>
    <t>at http://wonder.cdc.gov/mcd-icd10.html on Feb 15, 2020 9:30:08 PM</t>
  </si>
  <si>
    <t>Caveats:</t>
  </si>
  <si>
    <t>1. Population and rates are labeled 'Not Applicable' when they include a subset of ages 85-100+ because populations are not</t>
  </si>
  <si>
    <t>available for those ages. More information: http://wonder.cdc.gov/wonder/help/mcd.html#Ages 85-100.</t>
  </si>
  <si>
    <t>2. Death rates are flagged as Unreliable when the rate is calculated with a numerator of 20 or less. More information:</t>
  </si>
  <si>
    <t>http://wonder.cdc.gov/wonder/help/mcd.html#Unreliable.</t>
  </si>
  <si>
    <t>3. Deaths of persons with Age "Not Stated" are included in "All" counts and rates, but are not distributed among age groups,</t>
  </si>
  <si>
    <t>so are not included in age-specific counts, age-specific rates or in any age-adjusted rates. More information:</t>
  </si>
  <si>
    <t>http://wonder.cdc.gov/wonder/help/mcd.html#Not Stated.</t>
  </si>
  <si>
    <t>4. The population figures for year 2018 are bridged-race estimates of the July 1 resident population, from the Vintage 2018</t>
  </si>
  <si>
    <t>postcensal series released by NCHS on June 25, 2019. The population figures for year 2017 are bridged-race estimates of the July</t>
  </si>
  <si>
    <t>1 resident population, from the Vintage 2017 postcensal series released by NCHS on June 27, 2018. The population figures for</t>
  </si>
  <si>
    <t>year 2016 are bridged-race estimates of the July 1 resident population, from the Vintage 2016 postcensal series released by NCHS</t>
  </si>
  <si>
    <t>on June 26, 2017. The population figures for year 2015 are bridged-race estimates of the July 1 resident population, from the</t>
  </si>
  <si>
    <t>Vintage 2015 postcensal series released by NCHS on June 28, 2016. The population figures for year 2014 are bridged-race</t>
  </si>
  <si>
    <t>estimates of the July 1 resident population, from the Vintage 2014 postcensal series released by NCHS on June 30, 2015. The</t>
  </si>
  <si>
    <t>population figures for year 2013 are bridged-race estimates of the July 1 resident population, from the Vintage 2013 postcensal</t>
  </si>
  <si>
    <t>series released by NCHS on June 26, 2014. The population figures for year 2012 are bridged-race estimates of the July 1 resident</t>
  </si>
  <si>
    <t>population, from the Vintage 2012 postcensal series released by NCHS on June 13, 2013. Population figures for 2011 are</t>
  </si>
  <si>
    <t>bridged-race estimates of the July 1 resident population, from the county-level postcensal Vintage 2011 series released by NCHS</t>
  </si>
  <si>
    <t>on July 18, 2012. Population figures for 2010 are April 1 Census counts. The population figures for years 2001 - 2009, are</t>
  </si>
  <si>
    <t>bridged-race estimates of the July 1 resident population, from the revised intercensal county-level 2000 - 2009 series released</t>
  </si>
  <si>
    <t>by NCHS on October 26, 2012. Population figures for 2000 are April 1 Census counts. Population figures for 1999 are from the</t>
  </si>
  <si>
    <t>1990-1999 intercensal series of July 1 estimates. Population figures for Infant Age Groups are the number of live births.</t>
  </si>
  <si>
    <t>&lt;br/&gt;&lt;b&gt;Note:&lt;/b&gt; Rates and population figures for years 2001 - 2009 differ slightly from previously published reports, due to</t>
  </si>
  <si>
    <t>use of the population estimates which were available at the time of release.</t>
  </si>
  <si>
    <t>5. The population figures used in the calculation of death rates for the age group 'under 1 year' are the estimates of the</t>
  </si>
  <si>
    <t>resident population that is under one year of age. More information: http://wonder.cdc.gov/wonder/help/mcd.html#Age Group.</t>
  </si>
  <si>
    <t>6. Changes to cause of death classification affect reporting trends. More information:</t>
  </si>
  <si>
    <t>http://wonder.cdc.gov/wonder/help/mcd.html#ICD-10 Changes.</t>
  </si>
  <si>
    <r>
      <t>q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 xml:space="preserve"> = 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(𝜏)</t>
    </r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</si>
  <si>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(1)</t>
    </r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</si>
  <si>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(2)</t>
    </r>
  </si>
  <si>
    <t>Dependent prob. of dying due to opioids between x and x + 1</t>
  </si>
  <si>
    <t>Dependent prob. of dying not due to opioids between x and x + 1</t>
  </si>
  <si>
    <t>Independent prob. of dying not due to opioids between x and x + 1</t>
  </si>
  <si>
    <r>
      <t>q</t>
    </r>
    <r>
      <rPr>
        <i/>
        <vertAlign val="subscript"/>
        <sz val="10"/>
        <color theme="1"/>
        <rFont val="Calibri (Body)"/>
      </rPr>
      <t>x</t>
    </r>
    <r>
      <rPr>
        <i/>
        <vertAlign val="superscript"/>
        <sz val="10"/>
        <color theme="1"/>
        <rFont val="Calibri (Body)"/>
      </rPr>
      <t>'(2)</t>
    </r>
  </si>
  <si>
    <r>
      <t xml:space="preserve">Updated number surviving to age </t>
    </r>
    <r>
      <rPr>
        <i/>
        <sz val="10"/>
        <color theme="1"/>
        <rFont val="Calibri"/>
        <family val="2"/>
        <scheme val="minor"/>
      </rPr>
      <t>x</t>
    </r>
  </si>
  <si>
    <r>
      <t xml:space="preserve">Updated number dying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</si>
  <si>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t>85+</t>
  </si>
  <si>
    <t xml:space="preserve">Group deaths </t>
  </si>
  <si>
    <t>Group Rate</t>
  </si>
  <si>
    <t>85+ population</t>
  </si>
  <si>
    <t>Crude rate w/ 85+ group</t>
  </si>
  <si>
    <r>
      <t xml:space="preserve">Modified person-years lived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</si>
  <si>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</si>
  <si>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rPr>
        <i/>
        <vertAlign val="subscript"/>
        <sz val="10"/>
        <color theme="1"/>
        <rFont val="Calibri (Body)"/>
      </rPr>
      <t>n</t>
    </r>
    <r>
      <rPr>
        <i/>
        <sz val="10"/>
        <color theme="1"/>
        <rFont val="Calibri"/>
        <family val="2"/>
        <scheme val="minor"/>
      </rPr>
      <t>f</t>
    </r>
    <r>
      <rPr>
        <i/>
        <vertAlign val="subscript"/>
        <sz val="10"/>
        <color theme="1"/>
        <rFont val="Calibri (Body)"/>
      </rPr>
      <t>x</t>
    </r>
  </si>
  <si>
    <r>
      <t xml:space="preserve">Modified number surviving to age </t>
    </r>
    <r>
      <rPr>
        <i/>
        <sz val="10"/>
        <color theme="1"/>
        <rFont val="Calibri"/>
        <family val="2"/>
        <scheme val="minor"/>
      </rPr>
      <t>x</t>
    </r>
  </si>
  <si>
    <r>
      <t>l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</si>
  <si>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>d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</si>
  <si>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t>NA</t>
  </si>
  <si>
    <r>
      <t>T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</si>
  <si>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 xml:space="preserve">Modified total number of person-years lived above age </t>
    </r>
    <r>
      <rPr>
        <i/>
        <sz val="10"/>
        <color theme="1"/>
        <rFont val="Calibri"/>
        <family val="2"/>
        <scheme val="minor"/>
      </rPr>
      <t>x</t>
    </r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</si>
  <si>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</t>
    </r>
  </si>
  <si>
    <r>
      <t xml:space="preserve">Modified expectation of life at age </t>
    </r>
    <r>
      <rPr>
        <i/>
        <sz val="10"/>
        <color theme="1"/>
        <rFont val="Calibri"/>
        <family val="2"/>
        <scheme val="minor"/>
      </rPr>
      <t>x</t>
    </r>
  </si>
  <si>
    <t>Separation factor for Age x = 0</t>
  </si>
  <si>
    <t>f</t>
  </si>
  <si>
    <t xml:space="preserve">Average years lived of those who died </t>
  </si>
  <si>
    <t>Change in expectation of life after removing opioid mortality (days)</t>
  </si>
  <si>
    <t>Change in expectation of life after removing opioid mortality (yrs)</t>
  </si>
  <si>
    <t>Max Change</t>
  </si>
  <si>
    <t>Age of Max Change</t>
  </si>
  <si>
    <t>Difference from cohort formula</t>
  </si>
  <si>
    <t>Crude Rate incl. Unreliable per 100000</t>
  </si>
  <si>
    <r>
      <t xml:space="preserve">Modified number deaths between ages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and </t>
    </r>
    <r>
      <rPr>
        <i/>
        <sz val="10"/>
        <color theme="1"/>
        <rFont val="Calibri"/>
        <family val="2"/>
        <scheme val="minor"/>
      </rPr>
      <t>x</t>
    </r>
    <r>
      <rPr>
        <sz val="10"/>
        <color theme="1"/>
        <rFont val="Calibri"/>
        <family val="2"/>
        <scheme val="minor"/>
      </rPr>
      <t xml:space="preserve"> + 1</t>
    </r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</si>
  <si>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"/>
        <family val="2"/>
        <scheme val="minor"/>
      </rPr>
      <t>' - e</t>
    </r>
    <r>
      <rPr>
        <i/>
        <vertAlign val="subscript"/>
        <sz val="10"/>
        <color theme="1"/>
        <rFont val="Calibri (Body)"/>
      </rPr>
      <t>x</t>
    </r>
  </si>
  <si>
    <r>
      <t>e</t>
    </r>
    <r>
      <rPr>
        <i/>
        <vertAlign val="subscript"/>
        <sz val="10"/>
        <color theme="1"/>
        <rFont val="Calibri"/>
        <family val="2"/>
        <scheme val="minor"/>
      </rPr>
      <t>x</t>
    </r>
    <r>
      <rPr>
        <i/>
        <sz val="10"/>
        <color theme="1"/>
        <rFont val="Calibri (Body)"/>
      </rPr>
      <t>'</t>
    </r>
    <r>
      <rPr>
        <i/>
        <sz val="10"/>
        <color theme="1"/>
        <rFont val="Calibri"/>
        <family val="2"/>
        <scheme val="minor"/>
      </rPr>
      <t xml:space="preserve"> - e</t>
    </r>
    <r>
      <rPr>
        <i/>
        <vertAlign val="subscript"/>
        <sz val="10"/>
        <color theme="1"/>
        <rFont val="Calibri (Body)"/>
      </rPr>
      <t>x</t>
    </r>
  </si>
  <si>
    <t>Middle Ages Crisis?</t>
  </si>
  <si>
    <t>0-9</t>
  </si>
  <si>
    <t>10-19</t>
  </si>
  <si>
    <t>20-29</t>
  </si>
  <si>
    <t>30-39</t>
  </si>
  <si>
    <t>40-49</t>
  </si>
  <si>
    <t>50-59</t>
  </si>
  <si>
    <t>60-69</t>
  </si>
  <si>
    <t>70-79</t>
  </si>
  <si>
    <t>80+</t>
  </si>
  <si>
    <t>35-50</t>
  </si>
  <si>
    <t>30-50</t>
  </si>
  <si>
    <t>`</t>
  </si>
  <si>
    <t>45-65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</si>
</sst>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000"/>
    <numFmt numFmtId="165" formatCode="0.0"/>
    <numFmt numFmtId="166" formatCode="0.000"/>
    <numFmt numFmtId="167" formatCode="0.00000000"/>
    <numFmt numFmtId="168" formatCode="#,##0.000"/>
    <numFmt numFmtId="169" formatCode="#,##0.0000"/>
    <numFmt numFmtId="170" formatCode="#,##0.000000"/>
    <numFmt numFmtId="173" formatCode="0.0000000"/>
  </numFmts>
  <fonts count="1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color theme="1"/>
      <name val="Courier New"/>
      <family val="3"/>
    </font>
    <font>
      <sz val="10"/>
      <name val="Courier New"/>
      <family val="3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vertAlign val="subscript"/>
      <sz val="10"/>
      <color theme="1"/>
      <name val="Calibri"/>
      <family val="2"/>
      <scheme val="minor"/>
    </font>
    <font>
      <i/>
      <vertAlign val="subscript"/>
      <sz val="10"/>
      <color theme="1"/>
      <name val="Calibri (Body)"/>
    </font>
    <font>
      <i/>
      <vertAlign val="superscript"/>
      <sz val="10"/>
      <color theme="1"/>
      <name val="Calibri (Body)"/>
    </font>
    <font>
      <sz val="11"/>
      <color rgb="FF000000"/>
      <name val="Calibri"/>
      <family val="2"/>
    </font>
    <font>
      <i/>
      <sz val="10"/>
      <color theme="1"/>
      <name val="Calibri (Body)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3" fontId="1" fillId="0" borderId="0"/>
  </cellStyleXfs>
  <cellXfs count="67">
    <xf numFmtId="0" fontId="0" fillId="0" borderId="0" xfId="0"/>
    <xf numFmtId="0" fontId="2" fillId="0" borderId="0" xfId="0" applyFont="1"/>
    <xf numFmtId="3" fontId="3" fillId="0" borderId="0" xfId="0" applyNumberFormat="1" applyFont="1" applyFill="1" applyBorder="1" applyAlignment="1">
      <alignment horizontal="right"/>
    </xf>
    <xf numFmtId="164" fontId="4" fillId="0" borderId="8" xfId="1" applyNumberFormat="1" applyFont="1" applyBorder="1" applyAlignment="1">
      <alignment horizontal="center" wrapText="1"/>
    </xf>
    <xf numFmtId="3" fontId="4" fillId="0" borderId="7" xfId="1" applyNumberFormat="1" applyFont="1" applyBorder="1" applyAlignment="1">
      <alignment horizontal="center" wrapText="1"/>
    </xf>
    <xf numFmtId="3" fontId="4" fillId="0" borderId="9" xfId="1" applyNumberFormat="1" applyFont="1" applyBorder="1" applyAlignment="1">
      <alignment horizontal="center" wrapText="1"/>
    </xf>
    <xf numFmtId="164" fontId="5" fillId="0" borderId="3" xfId="1" applyNumberFormat="1" applyFont="1" applyBorder="1" applyAlignment="1">
      <alignment horizontal="center"/>
    </xf>
    <xf numFmtId="3" fontId="5" fillId="0" borderId="4" xfId="1" applyNumberFormat="1" applyFont="1" applyBorder="1" applyAlignment="1">
      <alignment horizontal="center"/>
    </xf>
    <xf numFmtId="3" fontId="5" fillId="0" borderId="5" xfId="1" applyNumberFormat="1" applyFont="1" applyBorder="1" applyAlignment="1">
      <alignment horizontal="center"/>
    </xf>
    <xf numFmtId="0" fontId="4" fillId="0" borderId="1" xfId="0" applyFont="1" applyBorder="1"/>
    <xf numFmtId="164" fontId="4" fillId="0" borderId="0" xfId="0" applyNumberFormat="1" applyFont="1"/>
    <xf numFmtId="3" fontId="4" fillId="0" borderId="0" xfId="0" applyNumberFormat="1" applyFont="1"/>
    <xf numFmtId="165" fontId="4" fillId="0" borderId="9" xfId="0" applyNumberFormat="1" applyFont="1" applyBorder="1"/>
    <xf numFmtId="16" fontId="4" fillId="0" borderId="1" xfId="0" quotePrefix="1" applyNumberFormat="1" applyFont="1" applyBorder="1"/>
    <xf numFmtId="165" fontId="4" fillId="0" borderId="11" xfId="0" applyNumberFormat="1" applyFont="1" applyBorder="1"/>
    <xf numFmtId="16" fontId="4" fillId="0" borderId="2" xfId="0" applyNumberFormat="1" applyFont="1" applyBorder="1"/>
    <xf numFmtId="164" fontId="4" fillId="0" borderId="6" xfId="0" applyNumberFormat="1" applyFont="1" applyBorder="1"/>
    <xf numFmtId="3" fontId="4" fillId="0" borderId="6" xfId="0" applyNumberFormat="1" applyFont="1" applyBorder="1"/>
    <xf numFmtId="165" fontId="4" fillId="0" borderId="12" xfId="0" applyNumberFormat="1" applyFont="1" applyBorder="1"/>
    <xf numFmtId="0" fontId="4" fillId="0" borderId="6" xfId="0" applyFont="1" applyBorder="1" applyAlignment="1">
      <alignment wrapText="1"/>
    </xf>
    <xf numFmtId="166" fontId="0" fillId="0" borderId="0" xfId="0" applyNumberFormat="1"/>
    <xf numFmtId="167" fontId="0" fillId="0" borderId="0" xfId="0" applyNumberFormat="1"/>
    <xf numFmtId="167" fontId="4" fillId="0" borderId="0" xfId="0" applyNumberFormat="1" applyFont="1"/>
    <xf numFmtId="167" fontId="4" fillId="0" borderId="6" xfId="0" applyNumberFormat="1" applyFont="1" applyBorder="1"/>
    <xf numFmtId="169" fontId="0" fillId="0" borderId="0" xfId="0" applyNumberFormat="1"/>
    <xf numFmtId="16" fontId="4" fillId="0" borderId="0" xfId="0" quotePrefix="1" applyNumberFormat="1" applyFont="1" applyBorder="1"/>
    <xf numFmtId="164" fontId="4" fillId="0" borderId="0" xfId="0" applyNumberFormat="1" applyFont="1" applyBorder="1"/>
    <xf numFmtId="3" fontId="4" fillId="0" borderId="0" xfId="0" applyNumberFormat="1" applyFont="1" applyBorder="1"/>
    <xf numFmtId="165" fontId="4" fillId="0" borderId="0" xfId="0" applyNumberFormat="1" applyFont="1" applyBorder="1"/>
    <xf numFmtId="16" fontId="4" fillId="0" borderId="0" xfId="0" applyNumberFormat="1" applyFont="1" applyBorder="1"/>
    <xf numFmtId="0" fontId="0" fillId="0" borderId="0" xfId="0" applyBorder="1"/>
    <xf numFmtId="16" fontId="4" fillId="0" borderId="2" xfId="0" quotePrefix="1" applyNumberFormat="1" applyFont="1" applyBorder="1"/>
    <xf numFmtId="4" fontId="4" fillId="0" borderId="0" xfId="0" applyNumberFormat="1" applyFont="1"/>
    <xf numFmtId="168" fontId="4" fillId="0" borderId="0" xfId="0" applyNumberFormat="1" applyFont="1"/>
    <xf numFmtId="170" fontId="4" fillId="0" borderId="0" xfId="0" applyNumberFormat="1" applyFont="1"/>
    <xf numFmtId="170" fontId="4" fillId="0" borderId="6" xfId="0" applyNumberFormat="1" applyFont="1" applyBorder="1"/>
    <xf numFmtId="3" fontId="4" fillId="0" borderId="13" xfId="1" applyNumberFormat="1" applyFont="1" applyBorder="1" applyAlignment="1">
      <alignment horizontal="center" wrapText="1"/>
    </xf>
    <xf numFmtId="166" fontId="0" fillId="0" borderId="11" xfId="0" applyNumberFormat="1" applyBorder="1"/>
    <xf numFmtId="166" fontId="0" fillId="0" borderId="12" xfId="0" applyNumberFormat="1" applyBorder="1"/>
    <xf numFmtId="168" fontId="4" fillId="0" borderId="4" xfId="1" applyNumberFormat="1" applyFont="1" applyBorder="1" applyAlignment="1">
      <alignment horizontal="center" wrapText="1"/>
    </xf>
    <xf numFmtId="168" fontId="5" fillId="0" borderId="4" xfId="1" applyNumberFormat="1" applyFont="1" applyBorder="1" applyAlignment="1">
      <alignment horizontal="center"/>
    </xf>
    <xf numFmtId="168" fontId="4" fillId="0" borderId="13" xfId="0" applyNumberFormat="1" applyFont="1" applyBorder="1"/>
    <xf numFmtId="168" fontId="4" fillId="0" borderId="0" xfId="0" applyNumberFormat="1" applyFont="1" applyBorder="1"/>
    <xf numFmtId="168" fontId="4" fillId="0" borderId="6" xfId="0" applyNumberFormat="1" applyFont="1" applyBorder="1"/>
    <xf numFmtId="3" fontId="4" fillId="0" borderId="4" xfId="1" applyNumberFormat="1" applyFont="1" applyFill="1" applyBorder="1" applyAlignment="1">
      <alignment horizontal="center" wrapText="1"/>
    </xf>
    <xf numFmtId="3" fontId="5" fillId="0" borderId="3" xfId="1" applyNumberFormat="1" applyFont="1" applyBorder="1" applyAlignment="1">
      <alignment horizontal="center"/>
    </xf>
    <xf numFmtId="166" fontId="0" fillId="0" borderId="0" xfId="0" applyNumberFormat="1" applyBorder="1"/>
    <xf numFmtId="166" fontId="0" fillId="0" borderId="6" xfId="0" applyNumberFormat="1" applyBorder="1"/>
    <xf numFmtId="3" fontId="4" fillId="0" borderId="7" xfId="1" applyFont="1" applyBorder="1" applyAlignment="1">
      <alignment horizontal="center" wrapText="1"/>
    </xf>
    <xf numFmtId="3" fontId="4" fillId="0" borderId="9" xfId="1" applyFont="1" applyBorder="1" applyAlignment="1">
      <alignment horizontal="center" wrapText="1"/>
    </xf>
    <xf numFmtId="3" fontId="4" fillId="0" borderId="4" xfId="1" applyFont="1" applyBorder="1" applyAlignment="1">
      <alignment horizontal="center" wrapText="1"/>
    </xf>
    <xf numFmtId="3" fontId="5" fillId="0" borderId="4" xfId="1" applyFont="1" applyBorder="1" applyAlignment="1">
      <alignment horizontal="center"/>
    </xf>
    <xf numFmtId="2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2" xfId="0" applyBorder="1"/>
    <xf numFmtId="0" fontId="0" fillId="0" borderId="12" xfId="0" applyBorder="1"/>
    <xf numFmtId="3" fontId="4" fillId="0" borderId="14" xfId="1" applyNumberFormat="1" applyFont="1" applyFill="1" applyBorder="1" applyAlignment="1">
      <alignment horizontal="center" wrapText="1"/>
    </xf>
    <xf numFmtId="49" fontId="0" fillId="0" borderId="0" xfId="0" applyNumberFormat="1"/>
    <xf numFmtId="0" fontId="4" fillId="0" borderId="0" xfId="0" applyFont="1" applyAlignment="1">
      <alignment wrapText="1"/>
    </xf>
    <xf numFmtId="0" fontId="4" fillId="0" borderId="6" xfId="0" applyFont="1" applyBorder="1" applyAlignment="1">
      <alignment wrapText="1"/>
    </xf>
    <xf numFmtId="3" fontId="4" fillId="0" borderId="7" xfId="1" applyNumberFormat="1" applyFont="1" applyBorder="1" applyAlignment="1">
      <alignment horizontal="center"/>
    </xf>
    <xf numFmtId="0" fontId="4" fillId="0" borderId="10" xfId="0" applyFont="1" applyBorder="1" applyAlignment="1"/>
    <xf numFmtId="0" fontId="4" fillId="0" borderId="6" xfId="0" applyFont="1" applyBorder="1" applyAlignment="1">
      <alignment horizontal="center" wrapText="1"/>
    </xf>
    <xf numFmtId="3" fontId="4" fillId="0" borderId="7" xfId="1" applyFont="1" applyBorder="1" applyAlignment="1">
      <alignment horizontal="center"/>
    </xf>
    <xf numFmtId="0" fontId="4" fillId="0" borderId="10" xfId="0" applyFont="1" applyBorder="1"/>
    <xf numFmtId="173" fontId="0" fillId="0" borderId="0" xfId="0" applyNumberFormat="1"/>
  </cellXfs>
  <cellStyles count="2">
    <cellStyle name="Normal" xfId="0" builtinId="0"/>
    <cellStyle name="Normal_Tb 2" xfId="1" xr:uid="{00000000-0005-0000-0000-000001000000}"/>
  </cellStyles>
  <dxfs count="3">
    <dxf>
      <font>
        <color theme="6" tint="0.59996337778862885"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'2017 Life Table'!$C$4:$C$103</c:f>
              <c:numCache>
                <c:formatCode>#,##0</c:formatCode>
                <c:ptCount val="100"/>
                <c:pt idx="0">
                  <c:v>100000</c:v>
                </c:pt>
                <c:pt idx="1">
                  <c:v>99422.3046875</c:v>
                </c:pt>
                <c:pt idx="2">
                  <c:v>99384.34375</c:v>
                </c:pt>
                <c:pt idx="3">
                  <c:v>99359.65625</c:v>
                </c:pt>
                <c:pt idx="4">
                  <c:v>99340.5</c:v>
                </c:pt>
                <c:pt idx="5">
                  <c:v>99325.7265625</c:v>
                </c:pt>
                <c:pt idx="6">
                  <c:v>99311.734375</c:v>
                </c:pt>
                <c:pt idx="7">
                  <c:v>99299.2265625</c:v>
                </c:pt>
                <c:pt idx="8">
                  <c:v>99287.8828125</c:v>
                </c:pt>
                <c:pt idx="9">
                  <c:v>99277.5859375</c:v>
                </c:pt>
                <c:pt idx="10">
                  <c:v>99268.1171875</c:v>
                </c:pt>
                <c:pt idx="11">
                  <c:v>99258.8828125</c:v>
                </c:pt>
                <c:pt idx="12">
                  <c:v>99248.6640625</c:v>
                </c:pt>
                <c:pt idx="13">
                  <c:v>99235.5078125</c:v>
                </c:pt>
                <c:pt idx="14">
                  <c:v>99217.0625</c:v>
                </c:pt>
                <c:pt idx="15">
                  <c:v>99191.4375</c:v>
                </c:pt>
                <c:pt idx="16">
                  <c:v>99157.8828125</c:v>
                </c:pt>
                <c:pt idx="17">
                  <c:v>99116.1640625</c:v>
                </c:pt>
                <c:pt idx="18">
                  <c:v>99065.6484375</c:v>
                </c:pt>
                <c:pt idx="19">
                  <c:v>99005.8984375</c:v>
                </c:pt>
                <c:pt idx="20">
                  <c:v>98936.8046875</c:v>
                </c:pt>
                <c:pt idx="21">
                  <c:v>98858.1328125</c:v>
                </c:pt>
                <c:pt idx="22">
                  <c:v>98770.2109375</c:v>
                </c:pt>
                <c:pt idx="23">
                  <c:v>98674.3828125</c:v>
                </c:pt>
                <c:pt idx="24">
                  <c:v>98572.5078125</c:v>
                </c:pt>
                <c:pt idx="25">
                  <c:v>98466.0234375</c:v>
                </c:pt>
                <c:pt idx="26">
                  <c:v>98355.4921875</c:v>
                </c:pt>
                <c:pt idx="27">
                  <c:v>98240.890625</c:v>
                </c:pt>
                <c:pt idx="28">
                  <c:v>98122.296875</c:v>
                </c:pt>
                <c:pt idx="29">
                  <c:v>97999.46875</c:v>
                </c:pt>
                <c:pt idx="30">
                  <c:v>97872.0703125</c:v>
                </c:pt>
                <c:pt idx="31">
                  <c:v>97739.8828125</c:v>
                </c:pt>
                <c:pt idx="32">
                  <c:v>97602.8515625</c:v>
                </c:pt>
                <c:pt idx="33">
                  <c:v>97460.9140625</c:v>
                </c:pt>
                <c:pt idx="34">
                  <c:v>97314.1796875</c:v>
                </c:pt>
                <c:pt idx="35">
                  <c:v>97162.7109375</c:v>
                </c:pt>
                <c:pt idx="36">
                  <c:v>97005.8125</c:v>
                </c:pt>
                <c:pt idx="37">
                  <c:v>96842.96875</c:v>
                </c:pt>
                <c:pt idx="38">
                  <c:v>96674.46875</c:v>
                </c:pt>
                <c:pt idx="39">
                  <c:v>96500.6796875</c:v>
                </c:pt>
                <c:pt idx="40">
                  <c:v>96321.234375</c:v>
                </c:pt>
                <c:pt idx="41">
                  <c:v>96134.75</c:v>
                </c:pt>
                <c:pt idx="42">
                  <c:v>95939.015625</c:v>
                </c:pt>
                <c:pt idx="43">
                  <c:v>95731.8125</c:v>
                </c:pt>
                <c:pt idx="44">
                  <c:v>95511.0859375</c:v>
                </c:pt>
                <c:pt idx="45">
                  <c:v>95275.1796875</c:v>
                </c:pt>
                <c:pt idx="46">
                  <c:v>95022.953125</c:v>
                </c:pt>
                <c:pt idx="47">
                  <c:v>94752.53125</c:v>
                </c:pt>
                <c:pt idx="48">
                  <c:v>94460.828125</c:v>
                </c:pt>
                <c:pt idx="49">
                  <c:v>94143.703125</c:v>
                </c:pt>
                <c:pt idx="50">
                  <c:v>93797.0703125</c:v>
                </c:pt>
                <c:pt idx="51">
                  <c:v>93419.1015625</c:v>
                </c:pt>
                <c:pt idx="52">
                  <c:v>93007.96875</c:v>
                </c:pt>
                <c:pt idx="53">
                  <c:v>92559.6640625</c:v>
                </c:pt>
                <c:pt idx="54">
                  <c:v>92070.484375</c:v>
                </c:pt>
                <c:pt idx="55">
                  <c:v>91538.46875</c:v>
                </c:pt>
                <c:pt idx="56">
                  <c:v>90963.2734375</c:v>
                </c:pt>
                <c:pt idx="57">
                  <c:v>90345.2421875</c:v>
                </c:pt>
                <c:pt idx="58">
                  <c:v>89684.03125</c:v>
                </c:pt>
                <c:pt idx="59">
                  <c:v>88978.3125</c:v>
                </c:pt>
                <c:pt idx="60">
                  <c:v>88225.890625</c:v>
                </c:pt>
                <c:pt idx="61">
                  <c:v>87423.6875</c:v>
                </c:pt>
                <c:pt idx="62">
                  <c:v>86569.7734375</c:v>
                </c:pt>
                <c:pt idx="63">
                  <c:v>85663.65625</c:v>
                </c:pt>
                <c:pt idx="64">
                  <c:v>84705.8828125</c:v>
                </c:pt>
                <c:pt idx="65">
                  <c:v>83696.0234375</c:v>
                </c:pt>
                <c:pt idx="66">
                  <c:v>82632.2109375</c:v>
                </c:pt>
                <c:pt idx="67">
                  <c:v>81506.6640625</c:v>
                </c:pt>
                <c:pt idx="68">
                  <c:v>80315.0078125</c:v>
                </c:pt>
                <c:pt idx="69">
                  <c:v>79048.4140625</c:v>
                </c:pt>
                <c:pt idx="70">
                  <c:v>77696.6875</c:v>
                </c:pt>
                <c:pt idx="71">
                  <c:v>76264.859375</c:v>
                </c:pt>
                <c:pt idx="72">
                  <c:v>74715.390625</c:v>
                </c:pt>
                <c:pt idx="73">
                  <c:v>73064.0390625</c:v>
                </c:pt>
                <c:pt idx="74">
                  <c:v>71296.34375</c:v>
                </c:pt>
                <c:pt idx="75">
                  <c:v>69418.25</c:v>
                </c:pt>
                <c:pt idx="76">
                  <c:v>67402.21875</c:v>
                </c:pt>
                <c:pt idx="77">
                  <c:v>65245.29296875</c:v>
                </c:pt>
                <c:pt idx="78">
                  <c:v>62932.7890625</c:v>
                </c:pt>
                <c:pt idx="79">
                  <c:v>60462.22265625</c:v>
                </c:pt>
                <c:pt idx="80">
                  <c:v>57838.61328125</c:v>
                </c:pt>
                <c:pt idx="81">
                  <c:v>55052.9375</c:v>
                </c:pt>
                <c:pt idx="82">
                  <c:v>52123.21484375</c:v>
                </c:pt>
                <c:pt idx="83">
                  <c:v>49035.44921875</c:v>
                </c:pt>
                <c:pt idx="84">
                  <c:v>45771.4609375</c:v>
                </c:pt>
                <c:pt idx="85">
                  <c:v>42382.3046875</c:v>
                </c:pt>
                <c:pt idx="86">
                  <c:v>38908.92578125</c:v>
                </c:pt>
                <c:pt idx="87">
                  <c:v>35372.91015625</c:v>
                </c:pt>
                <c:pt idx="88">
                  <c:v>31767.083984375</c:v>
                </c:pt>
                <c:pt idx="89">
                  <c:v>28143.263671875</c:v>
                </c:pt>
                <c:pt idx="90">
                  <c:v>24559.748046875</c:v>
                </c:pt>
                <c:pt idx="91">
                  <c:v>21078.8203125</c:v>
                </c:pt>
                <c:pt idx="92">
                  <c:v>17763.359375</c:v>
                </c:pt>
                <c:pt idx="93">
                  <c:v>14672.78515625</c:v>
                </c:pt>
                <c:pt idx="94">
                  <c:v>11858.7177734375</c:v>
                </c:pt>
                <c:pt idx="95">
                  <c:v>9360.876953125</c:v>
                </c:pt>
                <c:pt idx="96">
                  <c:v>7203.83544921875</c:v>
                </c:pt>
                <c:pt idx="97">
                  <c:v>5395.1953125</c:v>
                </c:pt>
                <c:pt idx="98">
                  <c:v>3925.57177734375</c:v>
                </c:pt>
                <c:pt idx="99">
                  <c:v>2770.462158203125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49-B24D-80CD-44274C438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8880559"/>
        <c:axId val="1050995439"/>
      </c:scatterChart>
      <c:valAx>
        <c:axId val="99888055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995439"/>
        <c:crosses val="autoZero"/>
        <c:crossBetween val="midCat"/>
      </c:valAx>
      <c:valAx>
        <c:axId val="105099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888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Alive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'2017 Life Table'!$C$4:$C$103</c:f>
              <c:numCache>
                <c:formatCode>#,##0</c:formatCode>
                <c:ptCount val="100"/>
                <c:pt idx="0">
                  <c:v>100000</c:v>
                </c:pt>
                <c:pt idx="1">
                  <c:v>99422.3046875</c:v>
                </c:pt>
                <c:pt idx="2">
                  <c:v>99384.34375</c:v>
                </c:pt>
                <c:pt idx="3">
                  <c:v>99359.65625</c:v>
                </c:pt>
                <c:pt idx="4">
                  <c:v>99340.5</c:v>
                </c:pt>
                <c:pt idx="5">
                  <c:v>99325.7265625</c:v>
                </c:pt>
                <c:pt idx="6">
                  <c:v>99311.734375</c:v>
                </c:pt>
                <c:pt idx="7">
                  <c:v>99299.2265625</c:v>
                </c:pt>
                <c:pt idx="8">
                  <c:v>99287.8828125</c:v>
                </c:pt>
                <c:pt idx="9">
                  <c:v>99277.5859375</c:v>
                </c:pt>
                <c:pt idx="10">
                  <c:v>99268.1171875</c:v>
                </c:pt>
                <c:pt idx="11">
                  <c:v>99258.8828125</c:v>
                </c:pt>
                <c:pt idx="12">
                  <c:v>99248.6640625</c:v>
                </c:pt>
                <c:pt idx="13">
                  <c:v>99235.5078125</c:v>
                </c:pt>
                <c:pt idx="14">
                  <c:v>99217.0625</c:v>
                </c:pt>
                <c:pt idx="15">
                  <c:v>99191.4375</c:v>
                </c:pt>
                <c:pt idx="16">
                  <c:v>99157.8828125</c:v>
                </c:pt>
                <c:pt idx="17">
                  <c:v>99116.1640625</c:v>
                </c:pt>
                <c:pt idx="18">
                  <c:v>99065.6484375</c:v>
                </c:pt>
                <c:pt idx="19">
                  <c:v>99005.8984375</c:v>
                </c:pt>
                <c:pt idx="20">
                  <c:v>98936.8046875</c:v>
                </c:pt>
                <c:pt idx="21">
                  <c:v>98858.1328125</c:v>
                </c:pt>
                <c:pt idx="22">
                  <c:v>98770.2109375</c:v>
                </c:pt>
                <c:pt idx="23">
                  <c:v>98674.3828125</c:v>
                </c:pt>
                <c:pt idx="24">
                  <c:v>98572.5078125</c:v>
                </c:pt>
                <c:pt idx="25">
                  <c:v>98466.0234375</c:v>
                </c:pt>
                <c:pt idx="26">
                  <c:v>98355.4921875</c:v>
                </c:pt>
                <c:pt idx="27">
                  <c:v>98240.890625</c:v>
                </c:pt>
                <c:pt idx="28">
                  <c:v>98122.296875</c:v>
                </c:pt>
                <c:pt idx="29">
                  <c:v>97999.46875</c:v>
                </c:pt>
                <c:pt idx="30">
                  <c:v>97872.0703125</c:v>
                </c:pt>
                <c:pt idx="31">
                  <c:v>97739.8828125</c:v>
                </c:pt>
                <c:pt idx="32">
                  <c:v>97602.8515625</c:v>
                </c:pt>
                <c:pt idx="33">
                  <c:v>97460.9140625</c:v>
                </c:pt>
                <c:pt idx="34">
                  <c:v>97314.1796875</c:v>
                </c:pt>
                <c:pt idx="35">
                  <c:v>97162.7109375</c:v>
                </c:pt>
                <c:pt idx="36">
                  <c:v>97005.8125</c:v>
                </c:pt>
                <c:pt idx="37">
                  <c:v>96842.96875</c:v>
                </c:pt>
                <c:pt idx="38">
                  <c:v>96674.46875</c:v>
                </c:pt>
                <c:pt idx="39">
                  <c:v>96500.6796875</c:v>
                </c:pt>
                <c:pt idx="40">
                  <c:v>96321.234375</c:v>
                </c:pt>
                <c:pt idx="41">
                  <c:v>96134.75</c:v>
                </c:pt>
                <c:pt idx="42">
                  <c:v>95939.015625</c:v>
                </c:pt>
                <c:pt idx="43">
                  <c:v>95731.8125</c:v>
                </c:pt>
                <c:pt idx="44">
                  <c:v>95511.0859375</c:v>
                </c:pt>
                <c:pt idx="45">
                  <c:v>95275.1796875</c:v>
                </c:pt>
                <c:pt idx="46">
                  <c:v>95022.953125</c:v>
                </c:pt>
                <c:pt idx="47">
                  <c:v>94752.53125</c:v>
                </c:pt>
                <c:pt idx="48">
                  <c:v>94460.828125</c:v>
                </c:pt>
                <c:pt idx="49">
                  <c:v>94143.703125</c:v>
                </c:pt>
                <c:pt idx="50">
                  <c:v>93797.0703125</c:v>
                </c:pt>
                <c:pt idx="51">
                  <c:v>93419.1015625</c:v>
                </c:pt>
                <c:pt idx="52">
                  <c:v>93007.96875</c:v>
                </c:pt>
                <c:pt idx="53">
                  <c:v>92559.6640625</c:v>
                </c:pt>
                <c:pt idx="54">
                  <c:v>92070.484375</c:v>
                </c:pt>
                <c:pt idx="55">
                  <c:v>91538.46875</c:v>
                </c:pt>
                <c:pt idx="56">
                  <c:v>90963.2734375</c:v>
                </c:pt>
                <c:pt idx="57">
                  <c:v>90345.2421875</c:v>
                </c:pt>
                <c:pt idx="58">
                  <c:v>89684.03125</c:v>
                </c:pt>
                <c:pt idx="59">
                  <c:v>88978.3125</c:v>
                </c:pt>
                <c:pt idx="60">
                  <c:v>88225.890625</c:v>
                </c:pt>
                <c:pt idx="61">
                  <c:v>87423.6875</c:v>
                </c:pt>
                <c:pt idx="62">
                  <c:v>86569.7734375</c:v>
                </c:pt>
                <c:pt idx="63">
                  <c:v>85663.65625</c:v>
                </c:pt>
                <c:pt idx="64">
                  <c:v>84705.8828125</c:v>
                </c:pt>
                <c:pt idx="65">
                  <c:v>83696.0234375</c:v>
                </c:pt>
                <c:pt idx="66">
                  <c:v>82632.2109375</c:v>
                </c:pt>
                <c:pt idx="67">
                  <c:v>81506.6640625</c:v>
                </c:pt>
                <c:pt idx="68">
                  <c:v>80315.0078125</c:v>
                </c:pt>
                <c:pt idx="69">
                  <c:v>79048.4140625</c:v>
                </c:pt>
                <c:pt idx="70">
                  <c:v>77696.6875</c:v>
                </c:pt>
                <c:pt idx="71">
                  <c:v>76264.859375</c:v>
                </c:pt>
                <c:pt idx="72">
                  <c:v>74715.390625</c:v>
                </c:pt>
                <c:pt idx="73">
                  <c:v>73064.0390625</c:v>
                </c:pt>
                <c:pt idx="74">
                  <c:v>71296.34375</c:v>
                </c:pt>
                <c:pt idx="75">
                  <c:v>69418.25</c:v>
                </c:pt>
                <c:pt idx="76">
                  <c:v>67402.21875</c:v>
                </c:pt>
                <c:pt idx="77">
                  <c:v>65245.29296875</c:v>
                </c:pt>
                <c:pt idx="78">
                  <c:v>62932.7890625</c:v>
                </c:pt>
                <c:pt idx="79">
                  <c:v>60462.22265625</c:v>
                </c:pt>
                <c:pt idx="80">
                  <c:v>57838.61328125</c:v>
                </c:pt>
                <c:pt idx="81">
                  <c:v>55052.9375</c:v>
                </c:pt>
                <c:pt idx="82">
                  <c:v>52123.21484375</c:v>
                </c:pt>
                <c:pt idx="83">
                  <c:v>49035.44921875</c:v>
                </c:pt>
                <c:pt idx="84">
                  <c:v>45771.4609375</c:v>
                </c:pt>
                <c:pt idx="85">
                  <c:v>42382.3046875</c:v>
                </c:pt>
                <c:pt idx="86">
                  <c:v>38908.92578125</c:v>
                </c:pt>
                <c:pt idx="87">
                  <c:v>35372.91015625</c:v>
                </c:pt>
                <c:pt idx="88">
                  <c:v>31767.083984375</c:v>
                </c:pt>
                <c:pt idx="89">
                  <c:v>28143.263671875</c:v>
                </c:pt>
                <c:pt idx="90">
                  <c:v>24559.748046875</c:v>
                </c:pt>
                <c:pt idx="91">
                  <c:v>21078.8203125</c:v>
                </c:pt>
                <c:pt idx="92">
                  <c:v>17763.359375</c:v>
                </c:pt>
                <c:pt idx="93">
                  <c:v>14672.78515625</c:v>
                </c:pt>
                <c:pt idx="94">
                  <c:v>11858.7177734375</c:v>
                </c:pt>
                <c:pt idx="95">
                  <c:v>9360.876953125</c:v>
                </c:pt>
                <c:pt idx="96">
                  <c:v>7203.83544921875</c:v>
                </c:pt>
                <c:pt idx="97">
                  <c:v>5395.1953125</c:v>
                </c:pt>
                <c:pt idx="98">
                  <c:v>3925.57177734375</c:v>
                </c:pt>
                <c:pt idx="99">
                  <c:v>2770.462158203125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649-B24D-80CD-44274C438B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8880559"/>
        <c:axId val="1050995439"/>
      </c:scatterChart>
      <c:valAx>
        <c:axId val="998880559"/>
        <c:scaling>
          <c:orientation val="minMax"/>
          <c:max val="1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0995439"/>
        <c:crosses val="autoZero"/>
        <c:crossBetween val="midCat"/>
        <c:majorUnit val="5"/>
      </c:valAx>
      <c:valAx>
        <c:axId val="105099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888055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</a:t>
            </a:r>
            <a:r>
              <a:rPr lang="en-US" sz="1200"/>
              <a:t>x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'2017 Life Table'!$B$4:$B$103</c:f>
              <c:numCache>
                <c:formatCode>0.000000</c:formatCode>
                <c:ptCount val="100"/>
                <c:pt idx="0">
                  <c:v>5.7769683189690113E-3</c:v>
                </c:pt>
                <c:pt idx="1">
                  <c:v>3.818386176135391E-4</c:v>
                </c:pt>
                <c:pt idx="2">
                  <c:v>2.4839455727487803E-4</c:v>
                </c:pt>
                <c:pt idx="3">
                  <c:v>1.928160636452958E-4</c:v>
                </c:pt>
                <c:pt idx="4">
                  <c:v>1.4872249448671937E-4</c:v>
                </c:pt>
                <c:pt idx="5">
                  <c:v>1.4088257739786059E-4</c:v>
                </c:pt>
                <c:pt idx="6">
                  <c:v>1.2598109606187791E-4</c:v>
                </c:pt>
                <c:pt idx="7">
                  <c:v>1.1421359522501007E-4</c:v>
                </c:pt>
                <c:pt idx="8">
                  <c:v>1.0369524534326047E-4</c:v>
                </c:pt>
                <c:pt idx="9">
                  <c:v>9.5351926574949175E-5</c:v>
                </c:pt>
                <c:pt idx="10">
                  <c:v>9.3017973995301872E-5</c:v>
                </c:pt>
                <c:pt idx="11">
                  <c:v>1.0298151755705476E-4</c:v>
                </c:pt>
                <c:pt idx="12">
                  <c:v>1.3252763892523944E-4</c:v>
                </c:pt>
                <c:pt idx="13">
                  <c:v>1.858931063907221E-4</c:v>
                </c:pt>
                <c:pt idx="14">
                  <c:v>2.5830889353528619E-4</c:v>
                </c:pt>
                <c:pt idx="15">
                  <c:v>3.3830752363428473E-4</c:v>
                </c:pt>
                <c:pt idx="16">
                  <c:v>4.2072634096257389E-4</c:v>
                </c:pt>
                <c:pt idx="17">
                  <c:v>5.0969421863555908E-4</c:v>
                </c:pt>
                <c:pt idx="18">
                  <c:v>6.031306111253798E-4</c:v>
                </c:pt>
                <c:pt idx="19">
                  <c:v>6.9786177482455969E-4</c:v>
                </c:pt>
                <c:pt idx="20">
                  <c:v>7.9517130507156253E-4</c:v>
                </c:pt>
                <c:pt idx="21">
                  <c:v>8.89373361133039E-4</c:v>
                </c:pt>
                <c:pt idx="22">
                  <c:v>9.7021477995440364E-4</c:v>
                </c:pt>
                <c:pt idx="23">
                  <c:v>1.032469910569489E-3</c:v>
                </c:pt>
                <c:pt idx="24">
                  <c:v>1.0802376782521605E-3</c:v>
                </c:pt>
                <c:pt idx="25">
                  <c:v>1.1225509224459529E-3</c:v>
                </c:pt>
                <c:pt idx="26">
                  <c:v>1.1651417007669806E-3</c:v>
                </c:pt>
                <c:pt idx="27">
                  <c:v>1.2071458622813225E-3</c:v>
                </c:pt>
                <c:pt idx="28">
                  <c:v>1.2518096482381225E-3</c:v>
                </c:pt>
                <c:pt idx="29">
                  <c:v>1.2999660102650523E-3</c:v>
                </c:pt>
                <c:pt idx="30">
                  <c:v>1.3505816459655762E-3</c:v>
                </c:pt>
                <c:pt idx="31">
                  <c:v>1.4020204544067383E-3</c:v>
                </c:pt>
                <c:pt idx="32">
                  <c:v>1.4542329590767622E-3</c:v>
                </c:pt>
                <c:pt idx="33">
                  <c:v>1.5055579133331776E-3</c:v>
                </c:pt>
                <c:pt idx="34">
                  <c:v>1.5564917121082544E-3</c:v>
                </c:pt>
                <c:pt idx="35">
                  <c:v>1.6147659625858068E-3</c:v>
                </c:pt>
                <c:pt idx="36">
                  <c:v>1.6787280328571796E-3</c:v>
                </c:pt>
                <c:pt idx="37">
                  <c:v>1.7399053322151303E-3</c:v>
                </c:pt>
                <c:pt idx="38">
                  <c:v>1.7976908711716533E-3</c:v>
                </c:pt>
                <c:pt idx="39">
                  <c:v>1.8595327856019139E-3</c:v>
                </c:pt>
                <c:pt idx="40">
                  <c:v>1.9360573496669531E-3</c:v>
                </c:pt>
                <c:pt idx="41">
                  <c:v>2.0360702183097601E-3</c:v>
                </c:pt>
                <c:pt idx="42">
                  <c:v>2.1597782615572214E-3</c:v>
                </c:pt>
                <c:pt idx="43">
                  <c:v>2.3056466598063707E-3</c:v>
                </c:pt>
                <c:pt idx="44">
                  <c:v>2.4699631612747908E-3</c:v>
                </c:pt>
                <c:pt idx="45">
                  <c:v>2.6473840698599815E-3</c:v>
                </c:pt>
                <c:pt idx="46">
                  <c:v>2.8458281885832548E-3</c:v>
                </c:pt>
                <c:pt idx="47">
                  <c:v>3.0785934068262577E-3</c:v>
                </c:pt>
                <c:pt idx="48">
                  <c:v>3.35723627358675E-3</c:v>
                </c:pt>
                <c:pt idx="49">
                  <c:v>3.6819539964199066E-3</c:v>
                </c:pt>
                <c:pt idx="50">
                  <c:v>4.0296413935720921E-3</c:v>
                </c:pt>
                <c:pt idx="51">
                  <c:v>4.4009480625391006E-3</c:v>
                </c:pt>
                <c:pt idx="52">
                  <c:v>4.8200725577771664E-3</c:v>
                </c:pt>
                <c:pt idx="53">
                  <c:v>5.2849845960736275E-3</c:v>
                </c:pt>
                <c:pt idx="54">
                  <c:v>5.7783392257988453E-3</c:v>
                </c:pt>
                <c:pt idx="55">
                  <c:v>6.2836850993335247E-3</c:v>
                </c:pt>
                <c:pt idx="56">
                  <c:v>6.7942789755761623E-3</c:v>
                </c:pt>
                <c:pt idx="57">
                  <c:v>7.3187043890357018E-3</c:v>
                </c:pt>
                <c:pt idx="58">
                  <c:v>7.8689772635698318E-3</c:v>
                </c:pt>
                <c:pt idx="59">
                  <c:v>8.4562739357352257E-3</c:v>
                </c:pt>
                <c:pt idx="60">
                  <c:v>9.0925619006156921E-3</c:v>
                </c:pt>
                <c:pt idx="61">
                  <c:v>9.7675202414393425E-3</c:v>
                </c:pt>
                <c:pt idx="62">
                  <c:v>1.0466912761330605E-2</c:v>
                </c:pt>
                <c:pt idx="63">
                  <c:v>1.1180669069290161E-2</c:v>
                </c:pt>
                <c:pt idx="64">
                  <c:v>1.192191056907177E-2</c:v>
                </c:pt>
                <c:pt idx="65">
                  <c:v>1.2710461392998695E-2</c:v>
                </c:pt>
                <c:pt idx="66">
                  <c:v>1.3621198944747448E-2</c:v>
                </c:pt>
                <c:pt idx="67">
                  <c:v>1.4620319940149784E-2</c:v>
                </c:pt>
                <c:pt idx="68">
                  <c:v>1.5770327299833298E-2</c:v>
                </c:pt>
                <c:pt idx="69">
                  <c:v>1.7100013792514801E-2</c:v>
                </c:pt>
                <c:pt idx="70">
                  <c:v>1.8428446725010872E-2</c:v>
                </c:pt>
                <c:pt idx="71">
                  <c:v>2.0316941663622856E-2</c:v>
                </c:pt>
                <c:pt idx="72">
                  <c:v>2.2101905196905136E-2</c:v>
                </c:pt>
                <c:pt idx="73">
                  <c:v>2.4193743243813515E-2</c:v>
                </c:pt>
                <c:pt idx="74">
                  <c:v>2.6342058554291725E-2</c:v>
                </c:pt>
                <c:pt idx="75">
                  <c:v>2.9041821137070656E-2</c:v>
                </c:pt>
                <c:pt idx="76">
                  <c:v>3.2000839710235596E-2</c:v>
                </c:pt>
                <c:pt idx="77">
                  <c:v>3.5443209111690521E-2</c:v>
                </c:pt>
                <c:pt idx="78">
                  <c:v>3.9257220923900604E-2</c:v>
                </c:pt>
                <c:pt idx="79">
                  <c:v>4.3392524123191833E-2</c:v>
                </c:pt>
                <c:pt idx="80">
                  <c:v>4.8162896186113358E-2</c:v>
                </c:pt>
                <c:pt idx="81">
                  <c:v>5.3216438740491867E-2</c:v>
                </c:pt>
                <c:pt idx="82">
                  <c:v>5.923973023891449E-2</c:v>
                </c:pt>
                <c:pt idx="83">
                  <c:v>6.6563829779624939E-2</c:v>
                </c:pt>
                <c:pt idx="84">
                  <c:v>7.4045203626155853E-2</c:v>
                </c:pt>
                <c:pt idx="85">
                  <c:v>8.1953547894954681E-2</c:v>
                </c:pt>
                <c:pt idx="86">
                  <c:v>9.087931364774704E-2</c:v>
                </c:pt>
                <c:pt idx="87">
                  <c:v>0.10193751752376556</c:v>
                </c:pt>
                <c:pt idx="88">
                  <c:v>0.11407470703125</c:v>
                </c:pt>
                <c:pt idx="89">
                  <c:v>0.12733118236064911</c:v>
                </c:pt>
                <c:pt idx="90">
                  <c:v>0.14173302054405212</c:v>
                </c:pt>
                <c:pt idx="91">
                  <c:v>0.15728875994682312</c:v>
                </c:pt>
                <c:pt idx="92">
                  <c:v>0.17398592829704285</c:v>
                </c:pt>
                <c:pt idx="93">
                  <c:v>0.19178822636604309</c:v>
                </c:pt>
                <c:pt idx="94">
                  <c:v>0.21063330769538879</c:v>
                </c:pt>
                <c:pt idx="95">
                  <c:v>0.23043155670166016</c:v>
                </c:pt>
                <c:pt idx="96">
                  <c:v>0.25106623768806458</c:v>
                </c:pt>
                <c:pt idx="97">
                  <c:v>0.27239489555358887</c:v>
                </c:pt>
                <c:pt idx="98">
                  <c:v>0.29425257444381714</c:v>
                </c:pt>
                <c:pt idx="99">
                  <c:v>0.31645643711090088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C0-0F49-BBD5-7E551B28CC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83411087"/>
        <c:axId val="1083258031"/>
      </c:scatterChart>
      <c:valAx>
        <c:axId val="1083411087"/>
        <c:scaling>
          <c:orientation val="minMax"/>
          <c:max val="1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258031"/>
        <c:crosses val="autoZero"/>
        <c:crossBetween val="midCat"/>
        <c:majorUnit val="5"/>
      </c:valAx>
      <c:valAx>
        <c:axId val="1083258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8341108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Change in Life Expectancy by Age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'Modified Life Table Trunc. 85+'!$P$4:$P$89</c:f>
              <c:numCache>
                <c:formatCode>0.000</c:formatCode>
                <c:ptCount val="86"/>
                <c:pt idx="0">
                  <c:v>153.12585687911314</c:v>
                </c:pt>
                <c:pt idx="1">
                  <c:v>153.87732213482678</c:v>
                </c:pt>
                <c:pt idx="2">
                  <c:v>153.82253493469139</c:v>
                </c:pt>
                <c:pt idx="3">
                  <c:v>153.83083556895369</c:v>
                </c:pt>
                <c:pt idx="4">
                  <c:v>153.83360566099745</c:v>
                </c:pt>
                <c:pt idx="5">
                  <c:v>153.84260540309256</c:v>
                </c:pt>
                <c:pt idx="6">
                  <c:v>153.86698901303589</c:v>
                </c:pt>
                <c:pt idx="7">
                  <c:v>153.87251711204283</c:v>
                </c:pt>
                <c:pt idx="8">
                  <c:v>153.88967187460446</c:v>
                </c:pt>
                <c:pt idx="9">
                  <c:v>153.89796555677964</c:v>
                </c:pt>
                <c:pt idx="10">
                  <c:v>153.91223216762398</c:v>
                </c:pt>
                <c:pt idx="11">
                  <c:v>153.91568511140545</c:v>
                </c:pt>
                <c:pt idx="12">
                  <c:v>153.92157290559535</c:v>
                </c:pt>
                <c:pt idx="13">
                  <c:v>153.91144119917823</c:v>
                </c:pt>
                <c:pt idx="14">
                  <c:v>153.89698235059976</c:v>
                </c:pt>
                <c:pt idx="15">
                  <c:v>153.85189863985599</c:v>
                </c:pt>
                <c:pt idx="16">
                  <c:v>153.82543745877513</c:v>
                </c:pt>
                <c:pt idx="17">
                  <c:v>153.78618072027626</c:v>
                </c:pt>
                <c:pt idx="18">
                  <c:v>153.52676689335999</c:v>
                </c:pt>
                <c:pt idx="19">
                  <c:v>152.88494261160383</c:v>
                </c:pt>
                <c:pt idx="20">
                  <c:v>151.58885827966463</c:v>
                </c:pt>
                <c:pt idx="21">
                  <c:v>149.65099825415143</c:v>
                </c:pt>
                <c:pt idx="22">
                  <c:v>147.07063387848774</c:v>
                </c:pt>
                <c:pt idx="23">
                  <c:v>143.88149929625996</c:v>
                </c:pt>
                <c:pt idx="24">
                  <c:v>139.85599066697472</c:v>
                </c:pt>
                <c:pt idx="25">
                  <c:v>135.5065532994966</c:v>
                </c:pt>
                <c:pt idx="26">
                  <c:v>131.00519492803534</c:v>
                </c:pt>
                <c:pt idx="27">
                  <c:v>126.21702810799822</c:v>
                </c:pt>
                <c:pt idx="28">
                  <c:v>120.93728905161363</c:v>
                </c:pt>
                <c:pt idx="29">
                  <c:v>115.4061114542035</c:v>
                </c:pt>
                <c:pt idx="30">
                  <c:v>110.03494426712416</c:v>
                </c:pt>
                <c:pt idx="31">
                  <c:v>104.90520004770376</c:v>
                </c:pt>
                <c:pt idx="32">
                  <c:v>99.663167042316388</c:v>
                </c:pt>
                <c:pt idx="33">
                  <c:v>94.183389647286461</c:v>
                </c:pt>
                <c:pt idx="34">
                  <c:v>88.749109253008697</c:v>
                </c:pt>
                <c:pt idx="35">
                  <c:v>83.623540946419027</c:v>
                </c:pt>
                <c:pt idx="36">
                  <c:v>78.488010430310297</c:v>
                </c:pt>
                <c:pt idx="37">
                  <c:v>73.675158890403125</c:v>
                </c:pt>
                <c:pt idx="38">
                  <c:v>69.277453068049795</c:v>
                </c:pt>
                <c:pt idx="39">
                  <c:v>65.100762709640506</c:v>
                </c:pt>
                <c:pt idx="40">
                  <c:v>60.773453937334992</c:v>
                </c:pt>
                <c:pt idx="41">
                  <c:v>56.979323111874422</c:v>
                </c:pt>
                <c:pt idx="42">
                  <c:v>53.265664461306592</c:v>
                </c:pt>
                <c:pt idx="43">
                  <c:v>50.054609646674905</c:v>
                </c:pt>
                <c:pt idx="44">
                  <c:v>46.822899671614266</c:v>
                </c:pt>
                <c:pt idx="45">
                  <c:v>43.937069298601699</c:v>
                </c:pt>
                <c:pt idx="46">
                  <c:v>40.877637147082964</c:v>
                </c:pt>
                <c:pt idx="47">
                  <c:v>37.937769681675924</c:v>
                </c:pt>
                <c:pt idx="48">
                  <c:v>34.937941884656311</c:v>
                </c:pt>
                <c:pt idx="49">
                  <c:v>32.169566746871155</c:v>
                </c:pt>
                <c:pt idx="50">
                  <c:v>29.456049289223262</c:v>
                </c:pt>
                <c:pt idx="51">
                  <c:v>26.874822874409361</c:v>
                </c:pt>
                <c:pt idx="52">
                  <c:v>24.230170126575437</c:v>
                </c:pt>
                <c:pt idx="53">
                  <c:v>21.872901717711553</c:v>
                </c:pt>
                <c:pt idx="54">
                  <c:v>19.41156852180583</c:v>
                </c:pt>
                <c:pt idx="55">
                  <c:v>17.053926998585148</c:v>
                </c:pt>
                <c:pt idx="56">
                  <c:v>14.870679895241324</c:v>
                </c:pt>
                <c:pt idx="57">
                  <c:v>12.926211418301392</c:v>
                </c:pt>
                <c:pt idx="58">
                  <c:v>11.075477317524765</c:v>
                </c:pt>
                <c:pt idx="59">
                  <c:v>9.3569663792547537</c:v>
                </c:pt>
                <c:pt idx="60">
                  <c:v>7.9196937437850723</c:v>
                </c:pt>
                <c:pt idx="61">
                  <c:v>6.6344931097467921</c:v>
                </c:pt>
                <c:pt idx="62">
                  <c:v>5.5338068039210899</c:v>
                </c:pt>
                <c:pt idx="63">
                  <c:v>4.5636780771376708</c:v>
                </c:pt>
                <c:pt idx="64">
                  <c:v>3.7554108491306586</c:v>
                </c:pt>
                <c:pt idx="65">
                  <c:v>3.0252125321710688</c:v>
                </c:pt>
                <c:pt idx="66">
                  <c:v>2.4565626634949336</c:v>
                </c:pt>
                <c:pt idx="67">
                  <c:v>1.9874265607654307</c:v>
                </c:pt>
                <c:pt idx="68">
                  <c:v>1.6201701170629326</c:v>
                </c:pt>
                <c:pt idx="69">
                  <c:v>1.3166362361463531</c:v>
                </c:pt>
                <c:pt idx="70">
                  <c:v>1.0511415226138867</c:v>
                </c:pt>
                <c:pt idx="71">
                  <c:v>0.90093664596456158</c:v>
                </c:pt>
                <c:pt idx="72">
                  <c:v>0.74519767692802175</c:v>
                </c:pt>
                <c:pt idx="73">
                  <c:v>0.59070914696337162</c:v>
                </c:pt>
                <c:pt idx="74">
                  <c:v>0.5088871569182678</c:v>
                </c:pt>
                <c:pt idx="75">
                  <c:v>0.43437230878613553</c:v>
                </c:pt>
                <c:pt idx="76">
                  <c:v>0.36418145691057591</c:v>
                </c:pt>
                <c:pt idx="77">
                  <c:v>0.29785803417123713</c:v>
                </c:pt>
                <c:pt idx="78">
                  <c:v>0.25232480599928087</c:v>
                </c:pt>
                <c:pt idx="79">
                  <c:v>0.20313253137062093</c:v>
                </c:pt>
                <c:pt idx="80">
                  <c:v>0.15521338168430354</c:v>
                </c:pt>
                <c:pt idx="81">
                  <c:v>0.138432817807848</c:v>
                </c:pt>
                <c:pt idx="82">
                  <c:v>9.1294895842396695E-2</c:v>
                </c:pt>
                <c:pt idx="83">
                  <c:v>6.2066932878334313E-2</c:v>
                </c:pt>
                <c:pt idx="84">
                  <c:v>5.0500439646604223E-2</c:v>
                </c:pt>
                <c:pt idx="85">
                  <c:v>2.7779481086758429E-2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ADC-144E-A9D9-DA7FEC60D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4026160"/>
        <c:axId val="626087520"/>
      </c:scatterChart>
      <c:valAx>
        <c:axId val="624026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6087520"/>
        <c:crosses val="autoZero"/>
        <c:crossBetween val="midCat"/>
      </c:valAx>
      <c:valAx>
        <c:axId val="626087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4026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610946</xdr:colOff>
      <xdr:row>33</xdr:row>
      <xdr:rowOff>145665</xdr:rowOff>
    </xdr:from>
    <xdr:to>
      <xdr:col>14</xdr:col>
      <xdr:colOff>115453</xdr:colOff>
      <xdr:row>47</xdr:row>
      <xdr:rowOff>141047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A215891-D8C1-5647-9DDC-54B7E44134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611909</xdr:colOff>
      <xdr:row>1</xdr:row>
      <xdr:rowOff>531091</xdr:rowOff>
    </xdr:from>
    <xdr:to>
      <xdr:col>14</xdr:col>
      <xdr:colOff>277092</xdr:colOff>
      <xdr:row>14</xdr:row>
      <xdr:rowOff>173181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2A8BE79-1BBA-2240-8D39-1C3ACCE677E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617680</xdr:colOff>
      <xdr:row>17</xdr:row>
      <xdr:rowOff>65809</xdr:rowOff>
    </xdr:from>
    <xdr:to>
      <xdr:col>14</xdr:col>
      <xdr:colOff>98135</xdr:colOff>
      <xdr:row>31</xdr:row>
      <xdr:rowOff>61191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01252AE-18B0-7545-B3A2-4C45775597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3908</xdr:colOff>
      <xdr:row>0</xdr:row>
      <xdr:rowOff>186592</xdr:rowOff>
    </xdr:from>
    <xdr:to>
      <xdr:col>10</xdr:col>
      <xdr:colOff>774700</xdr:colOff>
      <xdr:row>29</xdr:row>
      <xdr:rowOff>25400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824745D-B998-3F45-A1B6-9ACECA0514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s.wharton.upenn.edu/wharton_studentusers/glozano/Downloads/Life%20Expectancy%20Table%202017%20backup%202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Life Table"/>
      <sheetName val="Opioid Mortality - WONDER"/>
      <sheetName val="Modified Life Table"/>
      <sheetName val="Modified Life Table w grouping"/>
      <sheetName val="trying elliot's method"/>
    </sheetNames>
    <sheetDataSet>
      <sheetData sheetId="0" refreshError="1">
        <row r="89">
          <cell r="E89">
            <v>40645.6171875</v>
          </cell>
        </row>
        <row r="90">
          <cell r="E90">
            <v>37140.91796875</v>
          </cell>
        </row>
        <row r="91">
          <cell r="E91">
            <v>33569.99609375</v>
          </cell>
        </row>
        <row r="92">
          <cell r="E92">
            <v>29955.173828125</v>
          </cell>
        </row>
        <row r="93">
          <cell r="E93">
            <v>26351.505859375</v>
          </cell>
        </row>
        <row r="94">
          <cell r="E94">
            <v>22819.28515625</v>
          </cell>
        </row>
        <row r="95">
          <cell r="E95">
            <v>19421.08984375</v>
          </cell>
        </row>
        <row r="96">
          <cell r="E96">
            <v>16218.072265625</v>
          </cell>
        </row>
        <row r="97">
          <cell r="E97">
            <v>13265.751953125</v>
          </cell>
        </row>
        <row r="98">
          <cell r="E98">
            <v>10609.796875</v>
          </cell>
        </row>
        <row r="99">
          <cell r="E99">
            <v>8282.3564453125</v>
          </cell>
        </row>
        <row r="100">
          <cell r="E100">
            <v>6299.515625</v>
          </cell>
        </row>
        <row r="101">
          <cell r="E101">
            <v>4660.3837890625</v>
          </cell>
        </row>
        <row r="102">
          <cell r="E102">
            <v>3348.01708984375</v>
          </cell>
        </row>
        <row r="103">
          <cell r="E103">
            <v>2332.096923828125</v>
          </cell>
        </row>
        <row r="104">
          <cell r="E104">
            <v>4148.1484375</v>
          </cell>
        </row>
      </sheetData>
      <sheetData sheetId="1" refreshError="1">
        <row r="2">
          <cell r="H2">
            <v>0.48231980595512647</v>
          </cell>
        </row>
        <row r="3">
          <cell r="H3">
            <v>0.40249020691015314</v>
          </cell>
        </row>
        <row r="4">
          <cell r="H4">
            <v>9.9458572396516454E-2</v>
          </cell>
        </row>
        <row r="5">
          <cell r="H5">
            <v>9.9831409706857541E-2</v>
          </cell>
        </row>
        <row r="6">
          <cell r="H6">
            <v>5.0052768130801895E-2</v>
          </cell>
        </row>
        <row r="7">
          <cell r="H7">
            <v>0</v>
          </cell>
        </row>
        <row r="8">
          <cell r="H8">
            <v>4.9437255718160183E-2</v>
          </cell>
        </row>
        <row r="9">
          <cell r="H9">
            <v>0</v>
          </cell>
        </row>
        <row r="10">
          <cell r="H10">
            <v>2.4735099452414366E-2</v>
          </cell>
        </row>
        <row r="11">
          <cell r="H11">
            <v>0</v>
          </cell>
        </row>
        <row r="12">
          <cell r="H12">
            <v>4.7710845557845938E-2</v>
          </cell>
        </row>
        <row r="13">
          <cell r="H13">
            <v>4.8100487690844698E-2</v>
          </cell>
        </row>
        <row r="14">
          <cell r="H14">
            <v>0.12059953405164023</v>
          </cell>
        </row>
        <row r="15">
          <cell r="H15">
            <v>0.16845894956218721</v>
          </cell>
        </row>
        <row r="16">
          <cell r="H16">
            <v>0.36343328152389998</v>
          </cell>
        </row>
        <row r="17">
          <cell r="H17">
            <v>0.34025509410483745</v>
          </cell>
        </row>
        <row r="18">
          <cell r="H18">
            <v>0.4499500437043582</v>
          </cell>
        </row>
        <row r="19">
          <cell r="H19">
            <v>1.49</v>
          </cell>
        </row>
        <row r="20">
          <cell r="H20">
            <v>3.2770000000000001</v>
          </cell>
        </row>
        <row r="21">
          <cell r="H21">
            <v>6.367</v>
          </cell>
        </row>
        <row r="22">
          <cell r="H22">
            <v>9.4930000000000003</v>
          </cell>
        </row>
        <row r="23">
          <cell r="H23">
            <v>12.712999999999999</v>
          </cell>
        </row>
        <row r="24">
          <cell r="H24">
            <v>15.88</v>
          </cell>
        </row>
        <row r="25">
          <cell r="H25">
            <v>20.22</v>
          </cell>
        </row>
        <row r="26">
          <cell r="H26">
            <v>22.169</v>
          </cell>
        </row>
        <row r="27">
          <cell r="H27">
            <v>23.338999999999999</v>
          </cell>
        </row>
        <row r="28">
          <cell r="H28">
            <v>25.196000000000002</v>
          </cell>
        </row>
        <row r="29">
          <cell r="H29">
            <v>28.218</v>
          </cell>
        </row>
        <row r="30">
          <cell r="H30">
            <v>30.052</v>
          </cell>
        </row>
        <row r="31">
          <cell r="H31">
            <v>29.748000000000001</v>
          </cell>
        </row>
        <row r="32">
          <cell r="H32">
            <v>28.975000000000001</v>
          </cell>
        </row>
        <row r="33">
          <cell r="H33">
            <v>30.167000000000002</v>
          </cell>
        </row>
        <row r="34">
          <cell r="H34">
            <v>32.085999999999999</v>
          </cell>
        </row>
        <row r="35">
          <cell r="H35">
            <v>32.451999999999998</v>
          </cell>
        </row>
        <row r="36">
          <cell r="H36">
            <v>31.271000000000001</v>
          </cell>
        </row>
        <row r="37">
          <cell r="H37">
            <v>31.959</v>
          </cell>
        </row>
        <row r="38">
          <cell r="H38">
            <v>30.620999999999999</v>
          </cell>
        </row>
        <row r="39">
          <cell r="H39">
            <v>28.628</v>
          </cell>
        </row>
        <row r="40">
          <cell r="H40">
            <v>27.812000000000001</v>
          </cell>
        </row>
        <row r="41">
          <cell r="H41">
            <v>29.419</v>
          </cell>
        </row>
        <row r="42">
          <cell r="H42">
            <v>26.462</v>
          </cell>
        </row>
        <row r="43">
          <cell r="H43">
            <v>26.524000000000001</v>
          </cell>
        </row>
        <row r="44">
          <cell r="H44">
            <v>23.58</v>
          </cell>
        </row>
        <row r="45">
          <cell r="H45">
            <v>24.305</v>
          </cell>
        </row>
        <row r="46">
          <cell r="H46">
            <v>22.352</v>
          </cell>
        </row>
        <row r="47">
          <cell r="H47">
            <v>24.245000000000001</v>
          </cell>
        </row>
        <row r="48">
          <cell r="H48">
            <v>23.931999999999999</v>
          </cell>
        </row>
        <row r="49">
          <cell r="H49">
            <v>25.052</v>
          </cell>
        </row>
        <row r="50">
          <cell r="H50">
            <v>23.815999999999999</v>
          </cell>
        </row>
        <row r="51">
          <cell r="H51">
            <v>24.02</v>
          </cell>
        </row>
        <row r="52">
          <cell r="H52">
            <v>23.548999999999999</v>
          </cell>
        </row>
        <row r="53">
          <cell r="H53">
            <v>24.773</v>
          </cell>
        </row>
        <row r="54">
          <cell r="H54">
            <v>22.827000000000002</v>
          </cell>
        </row>
        <row r="55">
          <cell r="H55">
            <v>24.474</v>
          </cell>
        </row>
        <row r="56">
          <cell r="H56">
            <v>24.164000000000001</v>
          </cell>
        </row>
        <row r="57">
          <cell r="H57">
            <v>23.111999999999998</v>
          </cell>
        </row>
        <row r="58">
          <cell r="H58">
            <v>21.271999999999998</v>
          </cell>
        </row>
        <row r="59">
          <cell r="H59">
            <v>20.873999999999999</v>
          </cell>
        </row>
        <row r="60">
          <cell r="H60">
            <v>20.018999999999998</v>
          </cell>
        </row>
        <row r="61">
          <cell r="H61">
            <v>17.38</v>
          </cell>
        </row>
        <row r="62">
          <cell r="H62">
            <v>16.071000000000002</v>
          </cell>
        </row>
        <row r="63">
          <cell r="H63">
            <v>14.297000000000001</v>
          </cell>
        </row>
        <row r="64">
          <cell r="H64">
            <v>13.061</v>
          </cell>
        </row>
        <row r="65">
          <cell r="H65">
            <v>11.326000000000001</v>
          </cell>
        </row>
        <row r="66">
          <cell r="H66">
            <v>10.590999999999999</v>
          </cell>
        </row>
        <row r="67">
          <cell r="H67">
            <v>8.6319999999999997</v>
          </cell>
        </row>
        <row r="68">
          <cell r="H68">
            <v>7.4470000000000001</v>
          </cell>
        </row>
        <row r="69">
          <cell r="H69">
            <v>6.0979999999999999</v>
          </cell>
        </row>
        <row r="70">
          <cell r="H70">
            <v>5.29</v>
          </cell>
        </row>
        <row r="71">
          <cell r="H71">
            <v>4.8369999999999997</v>
          </cell>
        </row>
        <row r="72">
          <cell r="H72">
            <v>2.9780000000000002</v>
          </cell>
        </row>
        <row r="73">
          <cell r="H73">
            <v>3.1920000000000002</v>
          </cell>
        </row>
        <row r="74">
          <cell r="H74">
            <v>3.2930000000000001</v>
          </cell>
        </row>
        <row r="75">
          <cell r="H75">
            <v>1.9379999999999999</v>
          </cell>
        </row>
        <row r="76">
          <cell r="H76">
            <v>1.8660000000000001</v>
          </cell>
        </row>
        <row r="77">
          <cell r="H77">
            <v>1.863</v>
          </cell>
        </row>
        <row r="78">
          <cell r="H78">
            <v>1.841</v>
          </cell>
        </row>
        <row r="79">
          <cell r="H79">
            <v>1.3879999999999999</v>
          </cell>
        </row>
        <row r="80">
          <cell r="H80">
            <v>1.5549999999999999</v>
          </cell>
        </row>
        <row r="81">
          <cell r="H81">
            <v>1.58</v>
          </cell>
        </row>
        <row r="82">
          <cell r="H82">
            <v>0.72542934535805015</v>
          </cell>
        </row>
        <row r="83">
          <cell r="H83">
            <v>1.7</v>
          </cell>
        </row>
        <row r="84">
          <cell r="H84">
            <v>1.1507101525512888</v>
          </cell>
        </row>
        <row r="85">
          <cell r="H85">
            <v>0.56173989570362604</v>
          </cell>
        </row>
        <row r="86">
          <cell r="H86">
            <v>0.99185193634294266</v>
          </cell>
        </row>
        <row r="87">
          <cell r="H87">
            <v>1.159432477898898</v>
          </cell>
        </row>
      </sheetData>
      <sheetData sheetId="2" refreshError="1"/>
      <sheetData sheetId="3" refreshError="1">
        <row r="9">
          <cell r="P9">
            <v>153.84260540309256</v>
          </cell>
        </row>
        <row r="10">
          <cell r="P10">
            <v>153.86698901303589</v>
          </cell>
        </row>
        <row r="11">
          <cell r="P11">
            <v>153.87251711204283</v>
          </cell>
        </row>
        <row r="12">
          <cell r="P12">
            <v>153.88967187460446</v>
          </cell>
        </row>
        <row r="13">
          <cell r="P13">
            <v>153.89796555677964</v>
          </cell>
        </row>
        <row r="14">
          <cell r="P14">
            <v>153.91223216762398</v>
          </cell>
        </row>
        <row r="15">
          <cell r="P15">
            <v>153.91568511140545</v>
          </cell>
        </row>
        <row r="16">
          <cell r="P16">
            <v>153.92157290559535</v>
          </cell>
        </row>
        <row r="17">
          <cell r="P17">
            <v>153.91144119917823</v>
          </cell>
        </row>
        <row r="18">
          <cell r="P18">
            <v>153.89698235059976</v>
          </cell>
        </row>
        <row r="19">
          <cell r="P19">
            <v>153.85189863985599</v>
          </cell>
        </row>
        <row r="20">
          <cell r="P20">
            <v>153.82543745877513</v>
          </cell>
        </row>
        <row r="21">
          <cell r="P21">
            <v>153.78618072027626</v>
          </cell>
        </row>
        <row r="22">
          <cell r="P22">
            <v>153.52676689335999</v>
          </cell>
        </row>
        <row r="23">
          <cell r="P23">
            <v>152.88494261160383</v>
          </cell>
        </row>
        <row r="24">
          <cell r="P24">
            <v>151.58885827966463</v>
          </cell>
        </row>
        <row r="25">
          <cell r="P25">
            <v>149.65099825415143</v>
          </cell>
        </row>
        <row r="26">
          <cell r="P26">
            <v>147.07063387848774</v>
          </cell>
        </row>
        <row r="27">
          <cell r="P27">
            <v>143.88149929625996</v>
          </cell>
        </row>
        <row r="28">
          <cell r="P28">
            <v>139.85599066697472</v>
          </cell>
        </row>
        <row r="29">
          <cell r="P29">
            <v>135.5065532994966</v>
          </cell>
        </row>
        <row r="30">
          <cell r="P30">
            <v>131.00519492803534</v>
          </cell>
        </row>
        <row r="31">
          <cell r="P31">
            <v>126.21702810799822</v>
          </cell>
        </row>
        <row r="32">
          <cell r="P32">
            <v>120.93728905161363</v>
          </cell>
        </row>
        <row r="33">
          <cell r="P33">
            <v>115.4061114542035</v>
          </cell>
        </row>
        <row r="34">
          <cell r="P34">
            <v>110.03494426712416</v>
          </cell>
        </row>
        <row r="35">
          <cell r="P35">
            <v>104.90520004770376</v>
          </cell>
        </row>
        <row r="36">
          <cell r="P36">
            <v>99.663167042316388</v>
          </cell>
        </row>
        <row r="37">
          <cell r="P37">
            <v>94.183389647286461</v>
          </cell>
        </row>
        <row r="38">
          <cell r="P38">
            <v>88.749109253008697</v>
          </cell>
        </row>
        <row r="39">
          <cell r="P39">
            <v>83.623540946419027</v>
          </cell>
        </row>
        <row r="40">
          <cell r="P40">
            <v>78.488010430310297</v>
          </cell>
        </row>
        <row r="41">
          <cell r="P41">
            <v>73.675158890403125</v>
          </cell>
        </row>
        <row r="42">
          <cell r="P42">
            <v>69.277453068049795</v>
          </cell>
        </row>
        <row r="43">
          <cell r="P43">
            <v>65.100762709640506</v>
          </cell>
        </row>
        <row r="44">
          <cell r="P44">
            <v>60.773453937334992</v>
          </cell>
        </row>
        <row r="45">
          <cell r="P45">
            <v>56.979323111874422</v>
          </cell>
        </row>
        <row r="46">
          <cell r="P46">
            <v>53.265664461306592</v>
          </cell>
        </row>
        <row r="47">
          <cell r="P47">
            <v>50.054609646674905</v>
          </cell>
        </row>
        <row r="48">
          <cell r="P48">
            <v>46.822899671614266</v>
          </cell>
        </row>
        <row r="49">
          <cell r="P49">
            <v>43.937069298601699</v>
          </cell>
        </row>
        <row r="50">
          <cell r="P50">
            <v>40.877637147082964</v>
          </cell>
        </row>
        <row r="51">
          <cell r="P51">
            <v>37.937769681675924</v>
          </cell>
        </row>
        <row r="52">
          <cell r="P52">
            <v>34.937941884656311</v>
          </cell>
        </row>
        <row r="53">
          <cell r="P53">
            <v>32.169566746871155</v>
          </cell>
        </row>
        <row r="54">
          <cell r="P54">
            <v>29.456049289223262</v>
          </cell>
        </row>
        <row r="55">
          <cell r="P55">
            <v>26.874822874409361</v>
          </cell>
        </row>
        <row r="56">
          <cell r="P56">
            <v>24.230170126575437</v>
          </cell>
        </row>
        <row r="57">
          <cell r="P57">
            <v>21.872901717711553</v>
          </cell>
        </row>
        <row r="58">
          <cell r="P58">
            <v>19.41156852180583</v>
          </cell>
        </row>
        <row r="59">
          <cell r="P59">
            <v>17.053926998585148</v>
          </cell>
        </row>
        <row r="60">
          <cell r="P60">
            <v>14.870679895241324</v>
          </cell>
        </row>
        <row r="61">
          <cell r="P61">
            <v>12.926211418301392</v>
          </cell>
        </row>
        <row r="62">
          <cell r="P62">
            <v>11.075477317524765</v>
          </cell>
        </row>
        <row r="63">
          <cell r="P63">
            <v>9.3569663792547537</v>
          </cell>
        </row>
        <row r="64">
          <cell r="P64">
            <v>7.9196937437850723</v>
          </cell>
        </row>
        <row r="65">
          <cell r="P65">
            <v>6.6344931097467921</v>
          </cell>
        </row>
        <row r="66">
          <cell r="P66">
            <v>5.5338068039210899</v>
          </cell>
        </row>
        <row r="67">
          <cell r="P67">
            <v>4.5636780771376708</v>
          </cell>
        </row>
        <row r="68">
          <cell r="P68">
            <v>3.7554108491306586</v>
          </cell>
        </row>
        <row r="69">
          <cell r="P69">
            <v>3.0252125321710688</v>
          </cell>
        </row>
        <row r="70">
          <cell r="P70">
            <v>2.4565626634949336</v>
          </cell>
        </row>
        <row r="71">
          <cell r="P71">
            <v>1.9874265607654307</v>
          </cell>
        </row>
        <row r="72">
          <cell r="P72">
            <v>1.6201701170629326</v>
          </cell>
        </row>
        <row r="73">
          <cell r="P73">
            <v>1.3166362361463531</v>
          </cell>
        </row>
        <row r="74">
          <cell r="P74">
            <v>1.0511415226138867</v>
          </cell>
        </row>
        <row r="75">
          <cell r="P75">
            <v>0.90093664596456158</v>
          </cell>
        </row>
        <row r="76">
          <cell r="P76">
            <v>0.74519767692802175</v>
          </cell>
        </row>
        <row r="77">
          <cell r="P77">
            <v>0.59070914696337162</v>
          </cell>
        </row>
        <row r="78">
          <cell r="P78">
            <v>0.5088871569182678</v>
          </cell>
        </row>
        <row r="79">
          <cell r="P79">
            <v>0.43437230878613553</v>
          </cell>
        </row>
        <row r="80">
          <cell r="P80">
            <v>0.36418145691057591</v>
          </cell>
        </row>
        <row r="81">
          <cell r="P81">
            <v>0.29785803417123713</v>
          </cell>
        </row>
        <row r="82">
          <cell r="P82">
            <v>0.25232480599928087</v>
          </cell>
        </row>
        <row r="83">
          <cell r="P83">
            <v>0.20313253137062093</v>
          </cell>
        </row>
        <row r="84">
          <cell r="P84">
            <v>0.15521338168430354</v>
          </cell>
        </row>
        <row r="85">
          <cell r="P85">
            <v>0.138432817807848</v>
          </cell>
        </row>
        <row r="86">
          <cell r="P86">
            <v>9.1294895842396695E-2</v>
          </cell>
        </row>
        <row r="87">
          <cell r="P87">
            <v>6.2066932878334313E-2</v>
          </cell>
        </row>
        <row r="88">
          <cell r="P88">
            <v>5.0500439646604223E-2</v>
          </cell>
        </row>
        <row r="89">
          <cell r="P89">
            <v>2.7779481086758429E-2</v>
          </cell>
        </row>
      </sheetData>
      <sheetData sheetId="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Opioid Related Mortality by Age Year 2017-final" connectionId="1" xr16:uid="{00000000-0016-0000-0100-000000000000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J107"/>
  <sheetViews>
    <sheetView zoomScale="120" zoomScaleNormal="120" workbookViewId="0">
      <pane xSplit="1" ySplit="3" topLeftCell="B87" activePane="bottomRight" state="frozen"/>
      <selection pane="topRight" activeCell="B1" sqref="B1"/>
      <selection pane="bottomLeft" activeCell="A4" sqref="A4"/>
      <selection pane="bottomRight" activeCell="D68" sqref="D68"/>
    </sheetView>
  </sheetViews>
  <sheetFormatPr baseColWidth="10" defaultColWidth="9.5" defaultRowHeight="15"/>
  <cols>
    <col min="1" max="2" width="14.6640625" customWidth="1"/>
    <col min="3" max="3" width="14.5" customWidth="1"/>
    <col min="4" max="4" width="12.5" bestFit="1" customWidth="1"/>
    <col min="5" max="5" width="16" bestFit="1" customWidth="1"/>
    <col min="6" max="6" width="13.5" customWidth="1"/>
    <col min="7" max="7" width="14.1640625" customWidth="1"/>
  </cols>
  <sheetData>
    <row r="1" spans="1:10">
      <c r="A1" s="60" t="s">
        <v>3</v>
      </c>
      <c r="B1" s="60"/>
      <c r="C1" s="60"/>
      <c r="D1" s="60"/>
      <c r="E1" s="60"/>
      <c r="F1" s="60"/>
      <c r="G1" s="60"/>
    </row>
    <row r="2" spans="1:10" ht="67.5" customHeight="1">
      <c r="A2" s="61" t="s">
        <v>1</v>
      </c>
      <c r="B2" s="3" t="s">
        <v>104</v>
      </c>
      <c r="C2" s="4" t="s">
        <v>105</v>
      </c>
      <c r="D2" s="4" t="s">
        <v>106</v>
      </c>
      <c r="E2" s="4" t="s">
        <v>107</v>
      </c>
      <c r="F2" s="4" t="s">
        <v>108</v>
      </c>
      <c r="G2" s="5" t="s">
        <v>109</v>
      </c>
    </row>
    <row r="3" spans="1:10" ht="16">
      <c r="A3" s="62"/>
      <c r="B3" s="6" t="s">
        <v>110</v>
      </c>
      <c r="C3" s="7" t="s">
        <v>111</v>
      </c>
      <c r="D3" s="7" t="s">
        <v>112</v>
      </c>
      <c r="E3" s="7" t="s">
        <v>113</v>
      </c>
      <c r="F3" s="7" t="s">
        <v>114</v>
      </c>
      <c r="G3" s="8" t="s">
        <v>115</v>
      </c>
    </row>
    <row r="4" spans="1:10">
      <c r="A4" s="9" t="s">
        <v>4</v>
      </c>
      <c r="B4" s="10">
        <v>5.7769683189690113E-3</v>
      </c>
      <c r="C4" s="11">
        <v>100000</v>
      </c>
      <c r="D4" s="11">
        <v>577.69683837890602</v>
      </c>
      <c r="E4" s="11">
        <v>99493.359375</v>
      </c>
      <c r="F4" s="11">
        <v>7860752</v>
      </c>
      <c r="G4" s="12">
        <v>78.607521057128906</v>
      </c>
      <c r="J4" s="2"/>
    </row>
    <row r="5" spans="1:10">
      <c r="A5" s="13" t="s">
        <v>5</v>
      </c>
      <c r="B5" s="10">
        <v>3.818386176135391E-4</v>
      </c>
      <c r="C5" s="11">
        <v>99422.3046875</v>
      </c>
      <c r="D5" s="11">
        <v>37.963275909423828</v>
      </c>
      <c r="E5" s="11">
        <v>99403.328125</v>
      </c>
      <c r="F5" s="11">
        <v>7761258.5</v>
      </c>
      <c r="G5" s="14">
        <v>78.063552856445312</v>
      </c>
    </row>
    <row r="6" spans="1:10">
      <c r="A6" s="13" t="s">
        <v>6</v>
      </c>
      <c r="B6" s="10">
        <v>2.4839455727487803E-4</v>
      </c>
      <c r="C6" s="11">
        <v>99384.34375</v>
      </c>
      <c r="D6" s="11">
        <v>24.686529159545898</v>
      </c>
      <c r="E6" s="11">
        <v>99372</v>
      </c>
      <c r="F6" s="11">
        <v>7661855</v>
      </c>
      <c r="G6" s="14">
        <v>77.093177795410156</v>
      </c>
    </row>
    <row r="7" spans="1:10">
      <c r="A7" s="13" t="s">
        <v>7</v>
      </c>
      <c r="B7" s="10">
        <v>1.928160636452958E-4</v>
      </c>
      <c r="C7" s="11">
        <v>99359.65625</v>
      </c>
      <c r="D7" s="11">
        <v>19.158138275146484</v>
      </c>
      <c r="E7" s="11">
        <v>99350.078125</v>
      </c>
      <c r="F7" s="11">
        <v>7562483</v>
      </c>
      <c r="G7" s="14">
        <v>76.112213134765625</v>
      </c>
    </row>
    <row r="8" spans="1:10">
      <c r="A8" s="13" t="s">
        <v>8</v>
      </c>
      <c r="B8" s="10">
        <v>1.4872249448671937E-4</v>
      </c>
      <c r="C8" s="11">
        <v>99340.5</v>
      </c>
      <c r="D8" s="11">
        <v>14.774167060852051</v>
      </c>
      <c r="E8" s="11">
        <v>99333.109375</v>
      </c>
      <c r="F8" s="11">
        <v>7463133</v>
      </c>
      <c r="G8" s="14">
        <v>75.126792907714844</v>
      </c>
    </row>
    <row r="9" spans="1:10">
      <c r="A9" s="13" t="s">
        <v>9</v>
      </c>
      <c r="B9" s="10">
        <v>1.4088257739786059E-4</v>
      </c>
      <c r="C9" s="11">
        <v>99325.7265625</v>
      </c>
      <c r="D9" s="11">
        <v>13.993264198303223</v>
      </c>
      <c r="E9" s="11">
        <v>99318.734375</v>
      </c>
      <c r="F9" s="11">
        <v>7363800</v>
      </c>
      <c r="G9" s="14">
        <v>74.137893676757812</v>
      </c>
    </row>
    <row r="10" spans="1:10">
      <c r="A10" s="13" t="s">
        <v>10</v>
      </c>
      <c r="B10" s="10">
        <v>1.2598109606187791E-4</v>
      </c>
      <c r="C10" s="11">
        <v>99311.734375</v>
      </c>
      <c r="D10" s="11">
        <v>12.511401176452637</v>
      </c>
      <c r="E10" s="11">
        <v>99305.484375</v>
      </c>
      <c r="F10" s="11">
        <v>7264481</v>
      </c>
      <c r="G10" s="14">
        <v>73.148262023925781</v>
      </c>
    </row>
    <row r="11" spans="1:10">
      <c r="A11" s="13" t="s">
        <v>11</v>
      </c>
      <c r="B11" s="10">
        <v>1.1421359522501007E-4</v>
      </c>
      <c r="C11" s="11">
        <v>99299.2265625</v>
      </c>
      <c r="D11" s="11">
        <v>11.34132194519043</v>
      </c>
      <c r="E11" s="11">
        <v>99293.5546875</v>
      </c>
      <c r="F11" s="11">
        <v>7165175.5</v>
      </c>
      <c r="G11" s="14">
        <v>72.157417297363281</v>
      </c>
    </row>
    <row r="12" spans="1:10">
      <c r="A12" s="13" t="s">
        <v>12</v>
      </c>
      <c r="B12" s="10">
        <v>1.0369524534326047E-4</v>
      </c>
      <c r="C12" s="11">
        <v>99287.8828125</v>
      </c>
      <c r="D12" s="11">
        <v>10.295680999755859</v>
      </c>
      <c r="E12" s="11">
        <v>99282.734375</v>
      </c>
      <c r="F12" s="11">
        <v>7065882</v>
      </c>
      <c r="G12" s="14">
        <v>71.165603637695312</v>
      </c>
    </row>
    <row r="13" spans="1:10">
      <c r="A13" s="13" t="s">
        <v>13</v>
      </c>
      <c r="B13" s="10">
        <v>9.5351926574949175E-5</v>
      </c>
      <c r="C13" s="11">
        <v>99277.5859375</v>
      </c>
      <c r="D13" s="11">
        <v>9.4663095474243164</v>
      </c>
      <c r="E13" s="11">
        <v>99272.8515625</v>
      </c>
      <c r="F13" s="11">
        <v>6966599.5</v>
      </c>
      <c r="G13" s="14">
        <v>70.172935485839844</v>
      </c>
    </row>
    <row r="14" spans="1:10">
      <c r="A14" s="13" t="s">
        <v>14</v>
      </c>
      <c r="B14" s="10">
        <v>9.3017973995301872E-5</v>
      </c>
      <c r="C14" s="11">
        <v>99268.1171875</v>
      </c>
      <c r="D14" s="11">
        <v>9.2337188720703125</v>
      </c>
      <c r="E14" s="11">
        <v>99263.5</v>
      </c>
      <c r="F14" s="11">
        <v>6867326.5</v>
      </c>
      <c r="G14" s="14">
        <v>69.179580688476562</v>
      </c>
    </row>
    <row r="15" spans="1:10">
      <c r="A15" s="13" t="s">
        <v>15</v>
      </c>
      <c r="B15" s="10">
        <v>1.0298151755705476E-4</v>
      </c>
      <c r="C15" s="11">
        <v>99258.8828125</v>
      </c>
      <c r="D15" s="11">
        <v>10.221830368041992</v>
      </c>
      <c r="E15" s="11">
        <v>99253.7734375</v>
      </c>
      <c r="F15" s="11">
        <v>6768063</v>
      </c>
      <c r="G15" s="14">
        <v>68.185966491699219</v>
      </c>
    </row>
    <row r="16" spans="1:10">
      <c r="A16" s="13" t="s">
        <v>16</v>
      </c>
      <c r="B16" s="10">
        <v>1.3252763892523944E-4</v>
      </c>
      <c r="C16" s="11">
        <v>99248.6640625</v>
      </c>
      <c r="D16" s="11">
        <v>13.153191566467285</v>
      </c>
      <c r="E16" s="11">
        <v>99242.0859375</v>
      </c>
      <c r="F16" s="11">
        <v>6668809</v>
      </c>
      <c r="G16" s="14">
        <v>67.19293212890625</v>
      </c>
    </row>
    <row r="17" spans="1:7">
      <c r="A17" s="13" t="s">
        <v>17</v>
      </c>
      <c r="B17" s="10">
        <v>1.858931063907221E-4</v>
      </c>
      <c r="C17" s="11">
        <v>99235.5078125</v>
      </c>
      <c r="D17" s="11">
        <v>18.447196960449219</v>
      </c>
      <c r="E17" s="11">
        <v>99226.28125</v>
      </c>
      <c r="F17" s="11">
        <v>6569567</v>
      </c>
      <c r="G17" s="14">
        <v>66.201774597167969</v>
      </c>
    </row>
    <row r="18" spans="1:7">
      <c r="A18" s="13" t="s">
        <v>18</v>
      </c>
      <c r="B18" s="10">
        <v>2.5830889353528619E-4</v>
      </c>
      <c r="C18" s="11">
        <v>99217.0625</v>
      </c>
      <c r="D18" s="11">
        <v>25.62864875793457</v>
      </c>
      <c r="E18" s="11">
        <v>99204.25</v>
      </c>
      <c r="F18" s="11">
        <v>6470341</v>
      </c>
      <c r="G18" s="14">
        <v>65.213996887207031</v>
      </c>
    </row>
    <row r="19" spans="1:7">
      <c r="A19" s="13" t="s">
        <v>19</v>
      </c>
      <c r="B19" s="10">
        <v>3.3830752363428473E-4</v>
      </c>
      <c r="C19" s="11">
        <v>99191.4375</v>
      </c>
      <c r="D19" s="11">
        <v>33.557209014892578</v>
      </c>
      <c r="E19" s="11">
        <v>99174.65625</v>
      </c>
      <c r="F19" s="11">
        <v>6371136.5</v>
      </c>
      <c r="G19" s="14">
        <v>64.230712890625</v>
      </c>
    </row>
    <row r="20" spans="1:7">
      <c r="A20" s="13" t="s">
        <v>20</v>
      </c>
      <c r="B20" s="10">
        <v>4.2072634096257389E-4</v>
      </c>
      <c r="C20" s="11">
        <v>99157.8828125</v>
      </c>
      <c r="D20" s="11">
        <v>41.718334197998047</v>
      </c>
      <c r="E20" s="11">
        <v>99137.0234375</v>
      </c>
      <c r="F20" s="11">
        <v>6271962</v>
      </c>
      <c r="G20" s="14">
        <v>63.252277374267578</v>
      </c>
    </row>
    <row r="21" spans="1:7">
      <c r="A21" s="13" t="s">
        <v>21</v>
      </c>
      <c r="B21" s="10">
        <v>5.0969421863555908E-4</v>
      </c>
      <c r="C21" s="11">
        <v>99116.1640625</v>
      </c>
      <c r="D21" s="11">
        <v>50.518936157226562</v>
      </c>
      <c r="E21" s="11">
        <v>99090.90625</v>
      </c>
      <c r="F21" s="11">
        <v>6172825</v>
      </c>
      <c r="G21" s="14">
        <v>62.278690338134766</v>
      </c>
    </row>
    <row r="22" spans="1:7">
      <c r="A22" s="13" t="s">
        <v>22</v>
      </c>
      <c r="B22" s="10">
        <v>6.031306111253798E-4</v>
      </c>
      <c r="C22" s="11">
        <v>99065.6484375</v>
      </c>
      <c r="D22" s="11">
        <v>59.749526977539062</v>
      </c>
      <c r="E22" s="11">
        <v>99035.7734375</v>
      </c>
      <c r="F22" s="11">
        <v>6073734</v>
      </c>
      <c r="G22" s="14">
        <v>61.310192108154297</v>
      </c>
    </row>
    <row r="23" spans="1:7">
      <c r="A23" s="13" t="s">
        <v>23</v>
      </c>
      <c r="B23" s="10">
        <v>6.9786177482455969E-4</v>
      </c>
      <c r="C23" s="11">
        <v>99005.8984375</v>
      </c>
      <c r="D23" s="11">
        <v>69.092430114746094</v>
      </c>
      <c r="E23" s="11">
        <v>98971.3515625</v>
      </c>
      <c r="F23" s="11">
        <v>5974698.5</v>
      </c>
      <c r="G23" s="14">
        <v>60.346893310546875</v>
      </c>
    </row>
    <row r="24" spans="1:7">
      <c r="A24" s="13" t="s">
        <v>24</v>
      </c>
      <c r="B24" s="10">
        <v>7.9517130507156253E-4</v>
      </c>
      <c r="C24" s="11">
        <v>98936.8046875</v>
      </c>
      <c r="D24" s="11">
        <v>78.671707153320312</v>
      </c>
      <c r="E24" s="11">
        <v>98897.46875</v>
      </c>
      <c r="F24" s="11">
        <v>5875727</v>
      </c>
      <c r="G24" s="14">
        <v>59.388687133789062</v>
      </c>
    </row>
    <row r="25" spans="1:7">
      <c r="A25" s="13" t="s">
        <v>25</v>
      </c>
      <c r="B25" s="10">
        <v>8.89373361133039E-4</v>
      </c>
      <c r="C25" s="11">
        <v>98858.1328125</v>
      </c>
      <c r="D25" s="11">
        <v>87.921791076660156</v>
      </c>
      <c r="E25" s="11">
        <v>98814.171875</v>
      </c>
      <c r="F25" s="11">
        <v>5776829.5</v>
      </c>
      <c r="G25" s="14">
        <v>58.435550689697266</v>
      </c>
    </row>
    <row r="26" spans="1:7">
      <c r="A26" s="13" t="s">
        <v>26</v>
      </c>
      <c r="B26" s="10">
        <v>9.7021477995440364E-4</v>
      </c>
      <c r="C26" s="11">
        <v>98770.2109375</v>
      </c>
      <c r="D26" s="11">
        <v>95.828315734863281</v>
      </c>
      <c r="E26" s="11">
        <v>98722.296875</v>
      </c>
      <c r="F26" s="11">
        <v>5678015.5</v>
      </c>
      <c r="G26" s="14">
        <v>57.487125396728516</v>
      </c>
    </row>
    <row r="27" spans="1:7">
      <c r="A27" s="13" t="s">
        <v>27</v>
      </c>
      <c r="B27" s="10">
        <v>1.032469910569489E-3</v>
      </c>
      <c r="C27" s="11">
        <v>98674.3828125</v>
      </c>
      <c r="D27" s="11">
        <v>101.87833404541016</v>
      </c>
      <c r="E27" s="11">
        <v>98623.4453125</v>
      </c>
      <c r="F27" s="11">
        <v>5579293</v>
      </c>
      <c r="G27" s="14">
        <v>56.542465209960938</v>
      </c>
    </row>
    <row r="28" spans="1:7">
      <c r="A28" s="13" t="s">
        <v>28</v>
      </c>
      <c r="B28" s="10">
        <v>1.0802376782521605E-3</v>
      </c>
      <c r="C28" s="11">
        <v>98572.5078125</v>
      </c>
      <c r="D28" s="11">
        <v>106.48173522949219</v>
      </c>
      <c r="E28" s="11">
        <v>98519.265625</v>
      </c>
      <c r="F28" s="11">
        <v>5480669.5</v>
      </c>
      <c r="G28" s="14">
        <v>55.600387573242188</v>
      </c>
    </row>
    <row r="29" spans="1:7">
      <c r="A29" s="13" t="s">
        <v>29</v>
      </c>
      <c r="B29" s="10">
        <v>1.1225509224459529E-3</v>
      </c>
      <c r="C29" s="11">
        <v>98466.0234375</v>
      </c>
      <c r="D29" s="11">
        <v>110.53312683105469</v>
      </c>
      <c r="E29" s="11">
        <v>98410.7578125</v>
      </c>
      <c r="F29" s="11">
        <v>5382150.5</v>
      </c>
      <c r="G29" s="14">
        <v>54.659976959228516</v>
      </c>
    </row>
    <row r="30" spans="1:7">
      <c r="A30" s="13" t="s">
        <v>30</v>
      </c>
      <c r="B30" s="10">
        <v>1.1651417007669806E-3</v>
      </c>
      <c r="C30" s="11">
        <v>98355.4921875</v>
      </c>
      <c r="D30" s="11">
        <v>114.59808349609375</v>
      </c>
      <c r="E30" s="11">
        <v>98298.1875</v>
      </c>
      <c r="F30" s="11">
        <v>5283739.5</v>
      </c>
      <c r="G30" s="14">
        <v>53.720836639404297</v>
      </c>
    </row>
    <row r="31" spans="1:7">
      <c r="A31" s="13" t="s">
        <v>31</v>
      </c>
      <c r="B31" s="10">
        <v>1.2071458622813225E-3</v>
      </c>
      <c r="C31" s="11">
        <v>98240.890625</v>
      </c>
      <c r="D31" s="11">
        <v>118.59108734130859</v>
      </c>
      <c r="E31" s="11">
        <v>98181.59375</v>
      </c>
      <c r="F31" s="11">
        <v>5185441.5</v>
      </c>
      <c r="G31" s="14">
        <v>52.782924652099609</v>
      </c>
    </row>
    <row r="32" spans="1:7">
      <c r="A32" s="13" t="s">
        <v>32</v>
      </c>
      <c r="B32" s="10">
        <v>1.2518096482381225E-3</v>
      </c>
      <c r="C32" s="11">
        <v>98122.296875</v>
      </c>
      <c r="D32" s="11">
        <v>122.83043670654297</v>
      </c>
      <c r="E32" s="11">
        <v>98060.8828125</v>
      </c>
      <c r="F32" s="11">
        <v>5087259.5</v>
      </c>
      <c r="G32" s="14">
        <v>51.846111297607422</v>
      </c>
    </row>
    <row r="33" spans="1:7">
      <c r="A33" s="13" t="s">
        <v>33</v>
      </c>
      <c r="B33" s="10">
        <v>1.2999660102650523E-3</v>
      </c>
      <c r="C33" s="11">
        <v>97999.46875</v>
      </c>
      <c r="D33" s="11">
        <v>127.39598083496094</v>
      </c>
      <c r="E33" s="11">
        <v>97935.765625</v>
      </c>
      <c r="F33" s="11">
        <v>4989199</v>
      </c>
      <c r="G33" s="14">
        <v>50.910469055175781</v>
      </c>
    </row>
    <row r="34" spans="1:7">
      <c r="A34" s="13" t="s">
        <v>34</v>
      </c>
      <c r="B34" s="10">
        <v>1.3505816459655762E-3</v>
      </c>
      <c r="C34" s="11">
        <v>97872.0703125</v>
      </c>
      <c r="D34" s="11">
        <v>132.18421936035156</v>
      </c>
      <c r="E34" s="11">
        <v>97805.9765625</v>
      </c>
      <c r="F34" s="11">
        <v>4891263</v>
      </c>
      <c r="G34" s="14">
        <v>49.976085662841797</v>
      </c>
    </row>
    <row r="35" spans="1:7">
      <c r="A35" s="13" t="s">
        <v>35</v>
      </c>
      <c r="B35" s="10">
        <v>1.4020204544067383E-3</v>
      </c>
      <c r="C35" s="11">
        <v>97739.8828125</v>
      </c>
      <c r="D35" s="11">
        <v>137.03330993652344</v>
      </c>
      <c r="E35" s="11">
        <v>97671.3671875</v>
      </c>
      <c r="F35" s="11">
        <v>4793457</v>
      </c>
      <c r="G35" s="14">
        <v>49.042999267578125</v>
      </c>
    </row>
    <row r="36" spans="1:7">
      <c r="A36" s="13" t="s">
        <v>36</v>
      </c>
      <c r="B36" s="10">
        <v>1.4542329590767622E-3</v>
      </c>
      <c r="C36" s="11">
        <v>97602.8515625</v>
      </c>
      <c r="D36" s="11">
        <v>141.93728637695312</v>
      </c>
      <c r="E36" s="11">
        <v>97531.8828125</v>
      </c>
      <c r="F36" s="11">
        <v>4695785.5</v>
      </c>
      <c r="G36" s="14">
        <v>48.111148834228516</v>
      </c>
    </row>
    <row r="37" spans="1:7">
      <c r="A37" s="13" t="s">
        <v>37</v>
      </c>
      <c r="B37" s="10">
        <v>1.5055579133331776E-3</v>
      </c>
      <c r="C37" s="11">
        <v>97460.9140625</v>
      </c>
      <c r="D37" s="11">
        <v>146.73304748535156</v>
      </c>
      <c r="E37" s="11">
        <v>97387.546875</v>
      </c>
      <c r="F37" s="11">
        <v>4598254</v>
      </c>
      <c r="G37" s="14">
        <v>47.180492401123047</v>
      </c>
    </row>
    <row r="38" spans="1:7">
      <c r="A38" s="13" t="s">
        <v>38</v>
      </c>
      <c r="B38" s="10">
        <v>1.5564917121082544E-3</v>
      </c>
      <c r="C38" s="11">
        <v>97314.1796875</v>
      </c>
      <c r="D38" s="11">
        <v>151.46871948242188</v>
      </c>
      <c r="E38" s="11">
        <v>97238.4453125</v>
      </c>
      <c r="F38" s="11">
        <v>4500866.5</v>
      </c>
      <c r="G38" s="14">
        <v>46.250881195068359</v>
      </c>
    </row>
    <row r="39" spans="1:7">
      <c r="A39" s="13" t="s">
        <v>39</v>
      </c>
      <c r="B39" s="10">
        <v>1.6147659625858068E-3</v>
      </c>
      <c r="C39" s="11">
        <v>97162.7109375</v>
      </c>
      <c r="D39" s="11">
        <v>156.89503479003906</v>
      </c>
      <c r="E39" s="11">
        <v>97084.265625</v>
      </c>
      <c r="F39" s="11">
        <v>4403628</v>
      </c>
      <c r="G39" s="14">
        <v>45.322200775146484</v>
      </c>
    </row>
    <row r="40" spans="1:7">
      <c r="A40" s="13" t="s">
        <v>40</v>
      </c>
      <c r="B40" s="10">
        <v>1.6787280328571796E-3</v>
      </c>
      <c r="C40" s="11">
        <v>97005.8125</v>
      </c>
      <c r="D40" s="11">
        <v>162.84637451171875</v>
      </c>
      <c r="E40" s="11">
        <v>96924.390625</v>
      </c>
      <c r="F40" s="11">
        <v>4306543.5</v>
      </c>
      <c r="G40" s="14">
        <v>44.394695281982422</v>
      </c>
    </row>
    <row r="41" spans="1:7">
      <c r="A41" s="13" t="s">
        <v>41</v>
      </c>
      <c r="B41" s="10">
        <v>1.7399053322151303E-3</v>
      </c>
      <c r="C41" s="11">
        <v>96842.96875</v>
      </c>
      <c r="D41" s="11">
        <v>168.49760437011719</v>
      </c>
      <c r="E41" s="11">
        <v>96758.71875</v>
      </c>
      <c r="F41" s="11">
        <v>4209619</v>
      </c>
      <c r="G41" s="14">
        <v>43.468505859375</v>
      </c>
    </row>
    <row r="42" spans="1:7">
      <c r="A42" s="13" t="s">
        <v>42</v>
      </c>
      <c r="B42" s="10">
        <v>1.7976908711716533E-3</v>
      </c>
      <c r="C42" s="11">
        <v>96674.46875</v>
      </c>
      <c r="D42" s="11">
        <v>173.79081726074219</v>
      </c>
      <c r="E42" s="11">
        <v>96587.578125</v>
      </c>
      <c r="F42" s="11">
        <v>4112860.5</v>
      </c>
      <c r="G42" s="14">
        <v>42.543399810791016</v>
      </c>
    </row>
    <row r="43" spans="1:7">
      <c r="A43" s="13" t="s">
        <v>43</v>
      </c>
      <c r="B43" s="10">
        <v>1.8595327856019139E-3</v>
      </c>
      <c r="C43" s="11">
        <v>96500.6796875</v>
      </c>
      <c r="D43" s="11">
        <v>179.44618225097656</v>
      </c>
      <c r="E43" s="11">
        <v>96410.953125</v>
      </c>
      <c r="F43" s="11">
        <v>4016273</v>
      </c>
      <c r="G43" s="14">
        <v>41.619117736816406</v>
      </c>
    </row>
    <row r="44" spans="1:7">
      <c r="A44" s="13" t="s">
        <v>44</v>
      </c>
      <c r="B44" s="10">
        <v>1.9360573496669531E-3</v>
      </c>
      <c r="C44" s="11">
        <v>96321.234375</v>
      </c>
      <c r="D44" s="11">
        <v>186.48342895507812</v>
      </c>
      <c r="E44" s="11">
        <v>96227.9921875</v>
      </c>
      <c r="F44" s="11">
        <v>3919862</v>
      </c>
      <c r="G44" s="14">
        <v>40.695720672607422</v>
      </c>
    </row>
    <row r="45" spans="1:7">
      <c r="A45" s="13" t="s">
        <v>45</v>
      </c>
      <c r="B45" s="10">
        <v>2.0360702183097601E-3</v>
      </c>
      <c r="C45" s="11">
        <v>96134.75</v>
      </c>
      <c r="D45" s="11">
        <v>195.73710632324219</v>
      </c>
      <c r="E45" s="11">
        <v>96036.8828125</v>
      </c>
      <c r="F45" s="11">
        <v>3823634</v>
      </c>
      <c r="G45" s="14">
        <v>39.773693084716797</v>
      </c>
    </row>
    <row r="46" spans="1:7">
      <c r="A46" s="13" t="s">
        <v>46</v>
      </c>
      <c r="B46" s="10">
        <v>2.1597782615572214E-3</v>
      </c>
      <c r="C46" s="11">
        <v>95939.015625</v>
      </c>
      <c r="D46" s="11">
        <v>207.20700073242188</v>
      </c>
      <c r="E46" s="11">
        <v>95835.4140625</v>
      </c>
      <c r="F46" s="11">
        <v>3727597</v>
      </c>
      <c r="G46" s="14">
        <v>38.853816986083984</v>
      </c>
    </row>
    <row r="47" spans="1:7">
      <c r="A47" s="13" t="s">
        <v>47</v>
      </c>
      <c r="B47" s="10">
        <v>2.3056466598063707E-3</v>
      </c>
      <c r="C47" s="11">
        <v>95731.8125</v>
      </c>
      <c r="D47" s="11">
        <v>220.72373962402344</v>
      </c>
      <c r="E47" s="11">
        <v>95621.453125</v>
      </c>
      <c r="F47" s="11">
        <v>3631761.75</v>
      </c>
      <c r="G47" s="14">
        <v>37.936832427978516</v>
      </c>
    </row>
    <row r="48" spans="1:7">
      <c r="A48" s="13" t="s">
        <v>48</v>
      </c>
      <c r="B48" s="10">
        <v>2.4699631612747908E-3</v>
      </c>
      <c r="C48" s="11">
        <v>95511.0859375</v>
      </c>
      <c r="D48" s="11">
        <v>235.90885925292969</v>
      </c>
      <c r="E48" s="11">
        <v>95393.1328125</v>
      </c>
      <c r="F48" s="11">
        <v>3536140.25</v>
      </c>
      <c r="G48" s="14">
        <v>37.023349761962891</v>
      </c>
    </row>
    <row r="49" spans="1:7">
      <c r="A49" s="13" t="s">
        <v>49</v>
      </c>
      <c r="B49" s="10">
        <v>2.6473840698599815E-3</v>
      </c>
      <c r="C49" s="11">
        <v>95275.1796875</v>
      </c>
      <c r="D49" s="11">
        <v>252.22999572753906</v>
      </c>
      <c r="E49" s="11">
        <v>95149.0625</v>
      </c>
      <c r="F49" s="11">
        <v>3440747</v>
      </c>
      <c r="G49" s="14">
        <v>36.113780975341797</v>
      </c>
    </row>
    <row r="50" spans="1:7">
      <c r="A50" s="13" t="s">
        <v>50</v>
      </c>
      <c r="B50" s="10">
        <v>2.8458281885832548E-3</v>
      </c>
      <c r="C50" s="11">
        <v>95022.953125</v>
      </c>
      <c r="D50" s="11">
        <v>270.41900634765625</v>
      </c>
      <c r="E50" s="11">
        <v>94887.7421875</v>
      </c>
      <c r="F50" s="11">
        <v>3345598</v>
      </c>
      <c r="G50" s="14">
        <v>35.20831298828125</v>
      </c>
    </row>
    <row r="51" spans="1:7">
      <c r="A51" s="13" t="s">
        <v>51</v>
      </c>
      <c r="B51" s="10">
        <v>3.0785934068262577E-3</v>
      </c>
      <c r="C51" s="11">
        <v>94752.53125</v>
      </c>
      <c r="D51" s="11">
        <v>291.70452880859375</v>
      </c>
      <c r="E51" s="11">
        <v>94606.6796875</v>
      </c>
      <c r="F51" s="11">
        <v>3250710.25</v>
      </c>
      <c r="G51" s="14">
        <v>34.307369232177734</v>
      </c>
    </row>
    <row r="52" spans="1:7">
      <c r="A52" s="13" t="s">
        <v>52</v>
      </c>
      <c r="B52" s="10">
        <v>3.35723627358675E-3</v>
      </c>
      <c r="C52" s="11">
        <v>94460.828125</v>
      </c>
      <c r="D52" s="11">
        <v>317.1273193359375</v>
      </c>
      <c r="E52" s="11">
        <v>94302.265625</v>
      </c>
      <c r="F52" s="11">
        <v>3156103.5</v>
      </c>
      <c r="G52" s="14">
        <v>33.411769866943359</v>
      </c>
    </row>
    <row r="53" spans="1:7">
      <c r="A53" s="13" t="s">
        <v>53</v>
      </c>
      <c r="B53" s="10">
        <v>3.6819539964199066E-3</v>
      </c>
      <c r="C53" s="11">
        <v>94143.703125</v>
      </c>
      <c r="D53" s="11">
        <v>346.63278198242188</v>
      </c>
      <c r="E53" s="11">
        <v>93970.390625</v>
      </c>
      <c r="F53" s="11">
        <v>3061801.25</v>
      </c>
      <c r="G53" s="14">
        <v>32.522636413574219</v>
      </c>
    </row>
    <row r="54" spans="1:7">
      <c r="A54" s="13" t="s">
        <v>54</v>
      </c>
      <c r="B54" s="10">
        <v>4.0296413935720921E-3</v>
      </c>
      <c r="C54" s="11">
        <v>93797.0703125</v>
      </c>
      <c r="D54" s="11">
        <v>377.96856689453125</v>
      </c>
      <c r="E54" s="11">
        <v>93608.0859375</v>
      </c>
      <c r="F54" s="11">
        <v>2967831</v>
      </c>
      <c r="G54" s="14">
        <v>31.64097785949707</v>
      </c>
    </row>
    <row r="55" spans="1:7">
      <c r="A55" s="13" t="s">
        <v>55</v>
      </c>
      <c r="B55" s="10">
        <v>4.4009480625391006E-3</v>
      </c>
      <c r="C55" s="11">
        <v>93419.1015625</v>
      </c>
      <c r="D55" s="11">
        <v>411.13259887695312</v>
      </c>
      <c r="E55" s="11">
        <v>93213.53125</v>
      </c>
      <c r="F55" s="11">
        <v>2874222.75</v>
      </c>
      <c r="G55" s="14">
        <v>30.766969680786133</v>
      </c>
    </row>
    <row r="56" spans="1:7">
      <c r="A56" s="13" t="s">
        <v>56</v>
      </c>
      <c r="B56" s="10">
        <v>4.8200725577771664E-3</v>
      </c>
      <c r="C56" s="11">
        <v>93007.96875</v>
      </c>
      <c r="D56" s="11">
        <v>448.30514526367188</v>
      </c>
      <c r="E56" s="11">
        <v>92783.8125</v>
      </c>
      <c r="F56" s="11">
        <v>2781009.25</v>
      </c>
      <c r="G56" s="14">
        <v>29.900762557983398</v>
      </c>
    </row>
    <row r="57" spans="1:7">
      <c r="A57" s="13" t="s">
        <v>57</v>
      </c>
      <c r="B57" s="10">
        <v>5.2849845960736275E-3</v>
      </c>
      <c r="C57" s="11">
        <v>92559.6640625</v>
      </c>
      <c r="D57" s="11">
        <v>489.1763916015625</v>
      </c>
      <c r="E57" s="11">
        <v>92315.078125</v>
      </c>
      <c r="F57" s="11">
        <v>2688225.5</v>
      </c>
      <c r="G57" s="14">
        <v>29.043163299560547</v>
      </c>
    </row>
    <row r="58" spans="1:7">
      <c r="A58" s="13" t="s">
        <v>58</v>
      </c>
      <c r="B58" s="10">
        <v>5.7783392257988453E-3</v>
      </c>
      <c r="C58" s="11">
        <v>92070.484375</v>
      </c>
      <c r="D58" s="11">
        <v>532.01446533203125</v>
      </c>
      <c r="E58" s="11">
        <v>91804.4765625</v>
      </c>
      <c r="F58" s="11">
        <v>2595910.5</v>
      </c>
      <c r="G58" s="14">
        <v>28.194816589355469</v>
      </c>
    </row>
    <row r="59" spans="1:7">
      <c r="A59" s="13" t="s">
        <v>59</v>
      </c>
      <c r="B59" s="10">
        <v>6.2836850993335247E-3</v>
      </c>
      <c r="C59" s="11">
        <v>91538.46875</v>
      </c>
      <c r="D59" s="11">
        <v>575.19891357421875</v>
      </c>
      <c r="E59" s="11">
        <v>91250.875</v>
      </c>
      <c r="F59" s="11">
        <v>2504106</v>
      </c>
      <c r="G59" s="14">
        <v>27.355777740478516</v>
      </c>
    </row>
    <row r="60" spans="1:7">
      <c r="A60" s="13" t="s">
        <v>60</v>
      </c>
      <c r="B60" s="10">
        <v>6.7942789755761623E-3</v>
      </c>
      <c r="C60" s="11">
        <v>90963.2734375</v>
      </c>
      <c r="D60" s="11">
        <v>618.02984619140625</v>
      </c>
      <c r="E60" s="11">
        <v>90654.2578125</v>
      </c>
      <c r="F60" s="11">
        <v>2412855</v>
      </c>
      <c r="G60" s="14">
        <v>26.525594711303711</v>
      </c>
    </row>
    <row r="61" spans="1:7">
      <c r="A61" s="13" t="s">
        <v>61</v>
      </c>
      <c r="B61" s="10">
        <v>7.3187043890357018E-3</v>
      </c>
      <c r="C61" s="11">
        <v>90345.2421875</v>
      </c>
      <c r="D61" s="11">
        <v>661.21014404296875</v>
      </c>
      <c r="E61" s="11">
        <v>90014.640625</v>
      </c>
      <c r="F61" s="11">
        <v>2322200.75</v>
      </c>
      <c r="G61" s="14">
        <v>25.703630447387695</v>
      </c>
    </row>
    <row r="62" spans="1:7">
      <c r="A62" s="13" t="s">
        <v>62</v>
      </c>
      <c r="B62" s="10">
        <v>7.8689772635698318E-3</v>
      </c>
      <c r="C62" s="11">
        <v>89684.03125</v>
      </c>
      <c r="D62" s="11">
        <v>705.72161865234375</v>
      </c>
      <c r="E62" s="11">
        <v>89331.171875</v>
      </c>
      <c r="F62" s="11">
        <v>2232186.25</v>
      </c>
      <c r="G62" s="14">
        <v>24.889450073242188</v>
      </c>
    </row>
    <row r="63" spans="1:7">
      <c r="A63" s="13" t="s">
        <v>63</v>
      </c>
      <c r="B63" s="10">
        <v>8.4562739357352257E-3</v>
      </c>
      <c r="C63" s="11">
        <v>88978.3125</v>
      </c>
      <c r="D63" s="11">
        <v>752.42498779296875</v>
      </c>
      <c r="E63" s="11">
        <v>88602.1015625</v>
      </c>
      <c r="F63" s="11">
        <v>2142855</v>
      </c>
      <c r="G63" s="14">
        <v>24.082891464233398</v>
      </c>
    </row>
    <row r="64" spans="1:7">
      <c r="A64" s="13" t="s">
        <v>64</v>
      </c>
      <c r="B64" s="10">
        <v>9.0925619006156921E-3</v>
      </c>
      <c r="C64" s="11">
        <v>88225.890625</v>
      </c>
      <c r="D64" s="11">
        <v>802.19940185546875</v>
      </c>
      <c r="E64" s="11">
        <v>87824.7890625</v>
      </c>
      <c r="F64" s="11">
        <v>2054252.875</v>
      </c>
      <c r="G64" s="14">
        <v>23.284013748168945</v>
      </c>
    </row>
    <row r="65" spans="1:7">
      <c r="A65" s="13" t="s">
        <v>65</v>
      </c>
      <c r="B65" s="10">
        <v>9.7675202414393425E-3</v>
      </c>
      <c r="C65" s="11">
        <v>87423.6875</v>
      </c>
      <c r="D65" s="11">
        <v>853.91265869140625</v>
      </c>
      <c r="E65" s="11">
        <v>86996.734375</v>
      </c>
      <c r="F65" s="11">
        <v>1966428.125</v>
      </c>
      <c r="G65" s="14">
        <v>22.493082046508789</v>
      </c>
    </row>
    <row r="66" spans="1:7">
      <c r="A66" s="13" t="s">
        <v>66</v>
      </c>
      <c r="B66" s="10">
        <v>1.0466912761330605E-2</v>
      </c>
      <c r="C66" s="11">
        <v>86569.7734375</v>
      </c>
      <c r="D66" s="11">
        <v>906.1182861328125</v>
      </c>
      <c r="E66" s="11">
        <v>86116.71875</v>
      </c>
      <c r="F66" s="11">
        <v>1879431.375</v>
      </c>
      <c r="G66" s="14">
        <v>21.710018157958984</v>
      </c>
    </row>
    <row r="67" spans="1:7">
      <c r="A67" s="13" t="s">
        <v>67</v>
      </c>
      <c r="B67" s="10">
        <v>1.1180669069290161E-2</v>
      </c>
      <c r="C67" s="11">
        <v>85663.65625</v>
      </c>
      <c r="D67" s="11">
        <v>957.7769775390625</v>
      </c>
      <c r="E67" s="11">
        <v>85184.765625</v>
      </c>
      <c r="F67" s="11">
        <v>1793314.625</v>
      </c>
      <c r="G67" s="14">
        <v>20.934370040893555</v>
      </c>
    </row>
    <row r="68" spans="1:7">
      <c r="A68" s="13" t="s">
        <v>68</v>
      </c>
      <c r="B68" s="10">
        <v>1.192191056907177E-2</v>
      </c>
      <c r="C68" s="11">
        <v>84705.8828125</v>
      </c>
      <c r="D68" s="11">
        <v>1009.85595703125</v>
      </c>
      <c r="E68" s="11">
        <v>84200.953125</v>
      </c>
      <c r="F68" s="11">
        <v>1708129.875</v>
      </c>
      <c r="G68" s="14">
        <v>20.165422439575195</v>
      </c>
    </row>
    <row r="69" spans="1:7">
      <c r="A69" s="13" t="s">
        <v>69</v>
      </c>
      <c r="B69" s="10">
        <v>1.2710461392998695E-2</v>
      </c>
      <c r="C69" s="11">
        <v>83696.0234375</v>
      </c>
      <c r="D69" s="11">
        <v>1063.8150634765625</v>
      </c>
      <c r="E69" s="11">
        <v>83164.1171875</v>
      </c>
      <c r="F69" s="11">
        <v>1623929</v>
      </c>
      <c r="G69" s="14">
        <v>19.402702331542969</v>
      </c>
    </row>
    <row r="70" spans="1:7">
      <c r="A70" s="13" t="s">
        <v>70</v>
      </c>
      <c r="B70" s="10">
        <v>1.3621198944747448E-2</v>
      </c>
      <c r="C70" s="11">
        <v>82632.2109375</v>
      </c>
      <c r="D70" s="11">
        <v>1125.5498046875</v>
      </c>
      <c r="E70" s="11">
        <v>82069.4375</v>
      </c>
      <c r="F70" s="11">
        <v>1540764.875</v>
      </c>
      <c r="G70" s="14">
        <v>18.64605712890625</v>
      </c>
    </row>
    <row r="71" spans="1:7">
      <c r="A71" s="13" t="s">
        <v>71</v>
      </c>
      <c r="B71" s="10">
        <v>1.4620319940149784E-2</v>
      </c>
      <c r="C71" s="11">
        <v>81506.6640625</v>
      </c>
      <c r="D71" s="11">
        <v>1191.653564453125</v>
      </c>
      <c r="E71" s="11">
        <v>80910.8359375</v>
      </c>
      <c r="F71" s="11">
        <v>1458695.375</v>
      </c>
      <c r="G71" s="14">
        <v>17.896638870239258</v>
      </c>
    </row>
    <row r="72" spans="1:7">
      <c r="A72" s="13" t="s">
        <v>72</v>
      </c>
      <c r="B72" s="10">
        <v>1.5770327299833298E-2</v>
      </c>
      <c r="C72" s="11">
        <v>80315.0078125</v>
      </c>
      <c r="D72" s="11">
        <v>1266.593994140625</v>
      </c>
      <c r="E72" s="11">
        <v>79681.7109375</v>
      </c>
      <c r="F72" s="11">
        <v>1377784.5</v>
      </c>
      <c r="G72" s="14">
        <v>17.154758453369141</v>
      </c>
    </row>
    <row r="73" spans="1:7">
      <c r="A73" s="13" t="s">
        <v>73</v>
      </c>
      <c r="B73" s="10">
        <v>1.7100013792514801E-2</v>
      </c>
      <c r="C73" s="11">
        <v>79048.4140625</v>
      </c>
      <c r="D73" s="11">
        <v>1351.72900390625</v>
      </c>
      <c r="E73" s="11">
        <v>78372.546875</v>
      </c>
      <c r="F73" s="11">
        <v>1298102.875</v>
      </c>
      <c r="G73" s="14">
        <v>16.42161750793457</v>
      </c>
    </row>
    <row r="74" spans="1:7">
      <c r="A74" s="13" t="s">
        <v>74</v>
      </c>
      <c r="B74" s="10">
        <v>1.8428446725010872E-2</v>
      </c>
      <c r="C74" s="11">
        <v>77696.6875</v>
      </c>
      <c r="D74" s="11">
        <v>1431.8292236328125</v>
      </c>
      <c r="E74" s="11">
        <v>76980.7734375</v>
      </c>
      <c r="F74" s="11">
        <v>1219730.25</v>
      </c>
      <c r="G74" s="14">
        <v>15.698613166809082</v>
      </c>
    </row>
    <row r="75" spans="1:7">
      <c r="A75" s="13" t="s">
        <v>75</v>
      </c>
      <c r="B75" s="10">
        <v>2.0316941663622856E-2</v>
      </c>
      <c r="C75" s="11">
        <v>76264.859375</v>
      </c>
      <c r="D75" s="11">
        <v>1549.46875</v>
      </c>
      <c r="E75" s="11">
        <v>75490.125</v>
      </c>
      <c r="F75" s="11">
        <v>1142749.5</v>
      </c>
      <c r="G75" s="14">
        <v>14.98395824432373</v>
      </c>
    </row>
    <row r="76" spans="1:7">
      <c r="A76" s="13" t="s">
        <v>76</v>
      </c>
      <c r="B76" s="10">
        <v>2.2101905196905136E-2</v>
      </c>
      <c r="C76" s="11">
        <v>74715.390625</v>
      </c>
      <c r="D76" s="11">
        <v>1651.3525390625</v>
      </c>
      <c r="E76" s="11">
        <v>73889.71875</v>
      </c>
      <c r="F76" s="11">
        <v>1067259.375</v>
      </c>
      <c r="G76" s="14">
        <v>14.284331321716309</v>
      </c>
    </row>
    <row r="77" spans="1:7">
      <c r="A77" s="13" t="s">
        <v>77</v>
      </c>
      <c r="B77" s="10">
        <v>2.4193743243813515E-2</v>
      </c>
      <c r="C77" s="11">
        <v>73064.0390625</v>
      </c>
      <c r="D77" s="11">
        <v>1767.692626953125</v>
      </c>
      <c r="E77" s="11">
        <v>72180.1875</v>
      </c>
      <c r="F77" s="11">
        <v>993369.6875</v>
      </c>
      <c r="G77" s="14">
        <v>13.595876693725586</v>
      </c>
    </row>
    <row r="78" spans="1:7">
      <c r="A78" s="13" t="s">
        <v>78</v>
      </c>
      <c r="B78" s="10">
        <v>2.6342058554291725E-2</v>
      </c>
      <c r="C78" s="11">
        <v>71296.34375</v>
      </c>
      <c r="D78" s="11">
        <v>1878.0924072265625</v>
      </c>
      <c r="E78" s="11">
        <v>70357.296875</v>
      </c>
      <c r="F78" s="11">
        <v>921189.5</v>
      </c>
      <c r="G78" s="14">
        <v>12.920571327209473</v>
      </c>
    </row>
    <row r="79" spans="1:7">
      <c r="A79" s="13" t="s">
        <v>79</v>
      </c>
      <c r="B79" s="10">
        <v>2.9041821137070656E-2</v>
      </c>
      <c r="C79" s="11">
        <v>69418.25</v>
      </c>
      <c r="D79" s="11">
        <v>2016.0323486328125</v>
      </c>
      <c r="E79" s="11">
        <v>68410.234375</v>
      </c>
      <c r="F79" s="11">
        <v>850832.1875</v>
      </c>
      <c r="G79" s="14">
        <v>12.256607055664062</v>
      </c>
    </row>
    <row r="80" spans="1:7">
      <c r="A80" s="13" t="s">
        <v>80</v>
      </c>
      <c r="B80" s="10">
        <v>3.2000839710235596E-2</v>
      </c>
      <c r="C80" s="11">
        <v>67402.21875</v>
      </c>
      <c r="D80" s="11">
        <v>2156.927490234375</v>
      </c>
      <c r="E80" s="11">
        <v>66323.7578125</v>
      </c>
      <c r="F80" s="11">
        <v>782421.9375</v>
      </c>
      <c r="G80" s="14">
        <v>11.608251571655273</v>
      </c>
    </row>
    <row r="81" spans="1:7">
      <c r="A81" s="13" t="s">
        <v>81</v>
      </c>
      <c r="B81" s="10">
        <v>3.5443209111690521E-2</v>
      </c>
      <c r="C81" s="11">
        <v>65245.29296875</v>
      </c>
      <c r="D81" s="11">
        <v>2312.50244140625</v>
      </c>
      <c r="E81" s="11">
        <v>64089.0390625</v>
      </c>
      <c r="F81" s="11">
        <v>716098.1875</v>
      </c>
      <c r="G81" s="14">
        <v>10.975476264953613</v>
      </c>
    </row>
    <row r="82" spans="1:7">
      <c r="A82" s="13" t="s">
        <v>82</v>
      </c>
      <c r="B82" s="10">
        <v>3.9257220923900604E-2</v>
      </c>
      <c r="C82" s="11">
        <v>62932.7890625</v>
      </c>
      <c r="D82" s="11">
        <v>2470.56640625</v>
      </c>
      <c r="E82" s="11">
        <v>61697.5078125</v>
      </c>
      <c r="F82" s="11">
        <v>652009.1875</v>
      </c>
      <c r="G82" s="14">
        <v>10.360404968261719</v>
      </c>
    </row>
    <row r="83" spans="1:7">
      <c r="A83" s="13" t="s">
        <v>83</v>
      </c>
      <c r="B83" s="10">
        <v>4.3392524123191833E-2</v>
      </c>
      <c r="C83" s="11">
        <v>60462.22265625</v>
      </c>
      <c r="D83" s="11">
        <v>2623.6083984375</v>
      </c>
      <c r="E83" s="11">
        <v>59150.41796875</v>
      </c>
      <c r="F83" s="11">
        <v>590311.6875</v>
      </c>
      <c r="G83" s="14">
        <v>9.7633142471313477</v>
      </c>
    </row>
    <row r="84" spans="1:7">
      <c r="A84" s="13" t="s">
        <v>84</v>
      </c>
      <c r="B84" s="10">
        <v>4.8162896186113358E-2</v>
      </c>
      <c r="C84" s="11">
        <v>57838.61328125</v>
      </c>
      <c r="D84" s="11">
        <v>2785.675048828125</v>
      </c>
      <c r="E84" s="11">
        <v>56445.7734375</v>
      </c>
      <c r="F84" s="11">
        <v>531161.25</v>
      </c>
      <c r="G84" s="14">
        <v>9.1835060119628906</v>
      </c>
    </row>
    <row r="85" spans="1:7">
      <c r="A85" s="13" t="s">
        <v>85</v>
      </c>
      <c r="B85" s="10">
        <v>5.3216438740491867E-2</v>
      </c>
      <c r="C85" s="11">
        <v>55052.9375</v>
      </c>
      <c r="D85" s="11">
        <v>2929.72119140625</v>
      </c>
      <c r="E85" s="11">
        <v>53588.078125</v>
      </c>
      <c r="F85" s="11">
        <v>474715.46875</v>
      </c>
      <c r="G85" s="14">
        <v>8.6228904724121094</v>
      </c>
    </row>
    <row r="86" spans="1:7">
      <c r="A86" s="13" t="s">
        <v>86</v>
      </c>
      <c r="B86" s="10">
        <v>5.923973023891449E-2</v>
      </c>
      <c r="C86" s="11">
        <v>52123.21484375</v>
      </c>
      <c r="D86" s="11">
        <v>3087.76513671875</v>
      </c>
      <c r="E86" s="11">
        <v>50579.33203125</v>
      </c>
      <c r="F86" s="11">
        <v>421127.40625</v>
      </c>
      <c r="G86" s="14">
        <v>8.0794591903686523</v>
      </c>
    </row>
    <row r="87" spans="1:7">
      <c r="A87" s="13" t="s">
        <v>87</v>
      </c>
      <c r="B87" s="10">
        <v>6.6563829779624939E-2</v>
      </c>
      <c r="C87" s="11">
        <v>49035.44921875</v>
      </c>
      <c r="D87" s="11">
        <v>3263.9873046875</v>
      </c>
      <c r="E87" s="11">
        <v>47403.453125</v>
      </c>
      <c r="F87" s="11">
        <v>370548.0625</v>
      </c>
      <c r="G87" s="14">
        <v>7.5567383766174316</v>
      </c>
    </row>
    <row r="88" spans="1:7">
      <c r="A88" s="13" t="s">
        <v>88</v>
      </c>
      <c r="B88" s="10">
        <v>7.4045203626155853E-2</v>
      </c>
      <c r="C88" s="11">
        <v>45771.4609375</v>
      </c>
      <c r="D88" s="11">
        <v>3389.1572265625</v>
      </c>
      <c r="E88" s="11">
        <v>44076.8828125</v>
      </c>
      <c r="F88" s="11">
        <v>323144.59375</v>
      </c>
      <c r="G88" s="14">
        <v>7.0599579811096191</v>
      </c>
    </row>
    <row r="89" spans="1:7">
      <c r="A89" s="13" t="s">
        <v>89</v>
      </c>
      <c r="B89" s="10">
        <v>8.1953547894954681E-2</v>
      </c>
      <c r="C89" s="11">
        <v>42382.3046875</v>
      </c>
      <c r="D89" s="11">
        <v>3473.380126953125</v>
      </c>
      <c r="E89" s="11">
        <v>40645.6171875</v>
      </c>
      <c r="F89" s="11">
        <v>279067.71875</v>
      </c>
      <c r="G89" s="14">
        <v>6.58453369140625</v>
      </c>
    </row>
    <row r="90" spans="1:7">
      <c r="A90" s="13" t="s">
        <v>90</v>
      </c>
      <c r="B90" s="10">
        <v>9.087931364774704E-2</v>
      </c>
      <c r="C90" s="11">
        <v>38908.92578125</v>
      </c>
      <c r="D90" s="11">
        <v>3536.016357421875</v>
      </c>
      <c r="E90" s="11">
        <v>37140.91796875</v>
      </c>
      <c r="F90" s="11">
        <v>238422.109375</v>
      </c>
      <c r="G90" s="14">
        <v>6.1276969909667969</v>
      </c>
    </row>
    <row r="91" spans="1:7">
      <c r="A91" s="13" t="s">
        <v>91</v>
      </c>
      <c r="B91" s="10">
        <v>0.10193751752376556</v>
      </c>
      <c r="C91" s="11">
        <v>35372.91015625</v>
      </c>
      <c r="D91" s="11">
        <v>3605.82666015625</v>
      </c>
      <c r="E91" s="11">
        <v>33569.99609375</v>
      </c>
      <c r="F91" s="11">
        <v>201281.1875</v>
      </c>
      <c r="G91" s="14">
        <v>5.6902637481689453</v>
      </c>
    </row>
    <row r="92" spans="1:7">
      <c r="A92" s="13" t="s">
        <v>92</v>
      </c>
      <c r="B92" s="10">
        <v>0.11407470703125</v>
      </c>
      <c r="C92" s="11">
        <v>31767.083984375</v>
      </c>
      <c r="D92" s="11">
        <v>3623.82080078125</v>
      </c>
      <c r="E92" s="11">
        <v>29955.173828125</v>
      </c>
      <c r="F92" s="11">
        <v>167711.1875</v>
      </c>
      <c r="G92" s="14">
        <v>5.2794013023376465</v>
      </c>
    </row>
    <row r="93" spans="1:7">
      <c r="A93" s="13" t="s">
        <v>93</v>
      </c>
      <c r="B93" s="10">
        <v>0.12733118236064911</v>
      </c>
      <c r="C93" s="11">
        <v>28143.263671875</v>
      </c>
      <c r="D93" s="11">
        <v>3583.51513671875</v>
      </c>
      <c r="E93" s="11">
        <v>26351.505859375</v>
      </c>
      <c r="F93" s="11">
        <v>137756.015625</v>
      </c>
      <c r="G93" s="14">
        <v>4.894813060760498</v>
      </c>
    </row>
    <row r="94" spans="1:7">
      <c r="A94" s="13" t="s">
        <v>94</v>
      </c>
      <c r="B94" s="10">
        <v>0.14173302054405212</v>
      </c>
      <c r="C94" s="11">
        <v>24559.748046875</v>
      </c>
      <c r="D94" s="11">
        <v>3480.92724609375</v>
      </c>
      <c r="E94" s="11">
        <v>22819.28515625</v>
      </c>
      <c r="F94" s="11">
        <v>111404.515625</v>
      </c>
      <c r="G94" s="14">
        <v>4.5360608100891113</v>
      </c>
    </row>
    <row r="95" spans="1:7">
      <c r="A95" s="13" t="s">
        <v>95</v>
      </c>
      <c r="B95" s="10">
        <v>0.15728875994682312</v>
      </c>
      <c r="C95" s="11">
        <v>21078.8203125</v>
      </c>
      <c r="D95" s="11">
        <v>3315.46142578125</v>
      </c>
      <c r="E95" s="11">
        <v>19421.08984375</v>
      </c>
      <c r="F95" s="11">
        <v>88585.2265625</v>
      </c>
      <c r="G95" s="14">
        <v>4.2025704383850098</v>
      </c>
    </row>
    <row r="96" spans="1:7">
      <c r="A96" s="13" t="s">
        <v>96</v>
      </c>
      <c r="B96" s="10">
        <v>0.17398592829704285</v>
      </c>
      <c r="C96" s="11">
        <v>17763.359375</v>
      </c>
      <c r="D96" s="11">
        <v>3090.574462890625</v>
      </c>
      <c r="E96" s="11">
        <v>16218.072265625</v>
      </c>
      <c r="F96" s="11">
        <v>69164.140625</v>
      </c>
      <c r="G96" s="14">
        <v>3.8936407566070557</v>
      </c>
    </row>
    <row r="97" spans="1:7">
      <c r="A97" s="13" t="s">
        <v>97</v>
      </c>
      <c r="B97" s="10">
        <v>0.19178822636604309</v>
      </c>
      <c r="C97" s="11">
        <v>14672.78515625</v>
      </c>
      <c r="D97" s="11">
        <v>2814.0673828125</v>
      </c>
      <c r="E97" s="11">
        <v>13265.751953125</v>
      </c>
      <c r="F97" s="11">
        <v>52946.06640625</v>
      </c>
      <c r="G97" s="14">
        <v>3.6084537506103516</v>
      </c>
    </row>
    <row r="98" spans="1:7">
      <c r="A98" s="13" t="s">
        <v>98</v>
      </c>
      <c r="B98" s="10">
        <v>0.21063330769538879</v>
      </c>
      <c r="C98" s="11">
        <v>11858.7177734375</v>
      </c>
      <c r="D98" s="11">
        <v>2497.841064453125</v>
      </c>
      <c r="E98" s="11">
        <v>10609.796875</v>
      </c>
      <c r="F98" s="11">
        <v>39680.31640625</v>
      </c>
      <c r="G98" s="14">
        <v>3.346088171005249</v>
      </c>
    </row>
    <row r="99" spans="1:7">
      <c r="A99" s="13" t="s">
        <v>99</v>
      </c>
      <c r="B99" s="10">
        <v>0.23043155670166016</v>
      </c>
      <c r="C99" s="11">
        <v>9360.876953125</v>
      </c>
      <c r="D99" s="11">
        <v>2157.04150390625</v>
      </c>
      <c r="E99" s="11">
        <v>8282.3564453125</v>
      </c>
      <c r="F99" s="11">
        <v>29070.517578125</v>
      </c>
      <c r="G99" s="14">
        <v>3.1055335998535156</v>
      </c>
    </row>
    <row r="100" spans="1:7">
      <c r="A100" s="13" t="s">
        <v>100</v>
      </c>
      <c r="B100" s="10">
        <v>0.25106623768806458</v>
      </c>
      <c r="C100" s="11">
        <v>7203.83544921875</v>
      </c>
      <c r="D100" s="11">
        <v>1808.639892578125</v>
      </c>
      <c r="E100" s="11">
        <v>6299.515625</v>
      </c>
      <c r="F100" s="11">
        <v>20788.162109375</v>
      </c>
      <c r="G100" s="14">
        <v>2.8857076168060303</v>
      </c>
    </row>
    <row r="101" spans="1:7">
      <c r="A101" s="13" t="s">
        <v>101</v>
      </c>
      <c r="B101" s="10">
        <v>0.27239489555358887</v>
      </c>
      <c r="C101" s="11">
        <v>5395.1953125</v>
      </c>
      <c r="D101" s="11">
        <v>1469.6236572265625</v>
      </c>
      <c r="E101" s="11">
        <v>4660.3837890625</v>
      </c>
      <c r="F101" s="11">
        <v>14488.646484375</v>
      </c>
      <c r="G101" s="14">
        <v>2.6854720115661621</v>
      </c>
    </row>
    <row r="102" spans="1:7">
      <c r="A102" s="13" t="s">
        <v>102</v>
      </c>
      <c r="B102" s="10">
        <v>0.29425257444381714</v>
      </c>
      <c r="C102" s="11">
        <v>3925.57177734375</v>
      </c>
      <c r="D102" s="11">
        <v>1155.109619140625</v>
      </c>
      <c r="E102" s="11">
        <v>3348.01708984375</v>
      </c>
      <c r="F102" s="11">
        <v>9828.2626953125</v>
      </c>
      <c r="G102" s="14">
        <v>2.5036511421203613</v>
      </c>
    </row>
    <row r="103" spans="1:7">
      <c r="A103" s="13" t="s">
        <v>103</v>
      </c>
      <c r="B103" s="10">
        <v>0.31645643711090088</v>
      </c>
      <c r="C103" s="11">
        <v>2770.462158203125</v>
      </c>
      <c r="D103" s="11">
        <v>876.7305908203125</v>
      </c>
      <c r="E103" s="11">
        <v>2332.096923828125</v>
      </c>
      <c r="F103" s="11">
        <v>6480.24560546875</v>
      </c>
      <c r="G103" s="14">
        <v>2.3390486240386963</v>
      </c>
    </row>
    <row r="104" spans="1:7">
      <c r="A104" s="15" t="s">
        <v>0</v>
      </c>
      <c r="B104" s="16">
        <v>1</v>
      </c>
      <c r="C104" s="17">
        <v>1893.7315673828125</v>
      </c>
      <c r="D104" s="17">
        <v>1893.7315673828125</v>
      </c>
      <c r="E104" s="17">
        <v>4148.1484375</v>
      </c>
      <c r="F104" s="17">
        <v>4148.1484375</v>
      </c>
      <c r="G104" s="18">
        <v>2.1904628276824951</v>
      </c>
    </row>
    <row r="105" spans="1:7" ht="14.5" customHeight="1">
      <c r="A105" s="59" t="s">
        <v>2</v>
      </c>
      <c r="B105" s="59"/>
      <c r="C105" s="59"/>
      <c r="D105" s="59"/>
      <c r="E105" s="59"/>
      <c r="F105" s="59"/>
      <c r="G105" s="59"/>
    </row>
    <row r="106" spans="1:7">
      <c r="A106" s="1"/>
      <c r="B106" s="1"/>
      <c r="C106" s="1"/>
      <c r="D106" s="1"/>
      <c r="E106" s="1"/>
      <c r="F106" s="1"/>
      <c r="G106" s="1"/>
    </row>
    <row r="107" spans="1:7">
      <c r="E107">
        <f>SUM(E4:E104)/100000</f>
        <v>78.607517565917973</v>
      </c>
    </row>
  </sheetData>
  <mergeCells count="3">
    <mergeCell ref="A105:G105"/>
    <mergeCell ref="A1:G1"/>
    <mergeCell ref="A2:A3"/>
  </mergeCells>
  <pageMargins left="0.7" right="0.45" top="0.75" bottom="0.75" header="0.3" footer="0.3"/>
  <pageSetup scale="9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58"/>
  <sheetViews>
    <sheetView workbookViewId="0">
      <pane ySplit="1" topLeftCell="A2" activePane="bottomLeft" state="frozen"/>
      <selection pane="bottomLeft" activeCell="K23" sqref="K23"/>
    </sheetView>
  </sheetViews>
  <sheetFormatPr baseColWidth="10" defaultColWidth="11.5" defaultRowHeight="15"/>
  <cols>
    <col min="1" max="1" width="43.1640625" customWidth="1"/>
    <col min="2" max="2" width="13" bestFit="1" customWidth="1"/>
    <col min="3" max="3" width="17.33203125" bestFit="1" customWidth="1"/>
    <col min="4" max="4" width="10.6640625" bestFit="1" customWidth="1"/>
    <col min="5" max="6" width="12.33203125" bestFit="1" customWidth="1"/>
    <col min="7" max="7" width="21.6640625" customWidth="1"/>
    <col min="8" max="8" width="22.6640625" customWidth="1"/>
    <col min="9" max="9" width="13.33203125" customWidth="1"/>
    <col min="10" max="10" width="17.1640625" customWidth="1"/>
    <col min="11" max="11" width="11.83203125" bestFit="1" customWidth="1"/>
  </cols>
  <sheetData>
    <row r="1" spans="1:12">
      <c r="A1" t="s">
        <v>116</v>
      </c>
      <c r="B1" t="s">
        <v>117</v>
      </c>
      <c r="C1" t="s">
        <v>118</v>
      </c>
      <c r="D1" t="s">
        <v>119</v>
      </c>
      <c r="E1" t="s">
        <v>120</v>
      </c>
      <c r="F1" t="s">
        <v>121</v>
      </c>
      <c r="G1" t="s">
        <v>311</v>
      </c>
      <c r="H1" t="s">
        <v>291</v>
      </c>
    </row>
    <row r="2" spans="1:12">
      <c r="B2" t="s">
        <v>122</v>
      </c>
      <c r="C2">
        <v>0</v>
      </c>
      <c r="D2">
        <v>19</v>
      </c>
      <c r="E2">
        <v>3939295</v>
      </c>
      <c r="F2" t="s">
        <v>123</v>
      </c>
      <c r="G2" s="20">
        <f>IF($F2="Unreliable",$D2/$E2*100000,F2)</f>
        <v>0.48231980595512647</v>
      </c>
      <c r="H2" s="20">
        <f>IF($F2="Unreliable",$D2/$E2*100000,G2)</f>
        <v>0.48231980595512647</v>
      </c>
    </row>
    <row r="3" spans="1:12">
      <c r="B3" t="s">
        <v>124</v>
      </c>
      <c r="C3">
        <v>1</v>
      </c>
      <c r="D3">
        <v>16</v>
      </c>
      <c r="E3">
        <v>3975252</v>
      </c>
      <c r="F3" t="s">
        <v>123</v>
      </c>
      <c r="G3" s="20">
        <f t="shared" ref="G3:H66" si="0">IF($F3="Unreliable",$D3/$E3*100000,F3)</f>
        <v>0.40249020691015314</v>
      </c>
      <c r="H3" s="20">
        <f t="shared" si="0"/>
        <v>0.40249020691015314</v>
      </c>
      <c r="J3" t="s">
        <v>315</v>
      </c>
    </row>
    <row r="4" spans="1:12">
      <c r="B4" t="s">
        <v>125</v>
      </c>
      <c r="C4">
        <v>2</v>
      </c>
      <c r="D4">
        <v>4</v>
      </c>
      <c r="E4">
        <v>4021775</v>
      </c>
      <c r="F4" t="s">
        <v>123</v>
      </c>
      <c r="G4" s="20">
        <f t="shared" si="0"/>
        <v>9.9458572396516454E-2</v>
      </c>
      <c r="H4" s="20">
        <f t="shared" si="0"/>
        <v>9.9458572396516454E-2</v>
      </c>
      <c r="J4" t="s">
        <v>316</v>
      </c>
      <c r="K4">
        <f>SUM(D2:D11)</f>
        <v>48</v>
      </c>
      <c r="L4" s="20">
        <f>K4/$D$104</f>
        <v>1.0084033613445378E-3</v>
      </c>
    </row>
    <row r="5" spans="1:12">
      <c r="B5" t="s">
        <v>126</v>
      </c>
      <c r="C5">
        <v>3</v>
      </c>
      <c r="D5">
        <v>4</v>
      </c>
      <c r="E5">
        <v>4006755</v>
      </c>
      <c r="F5" t="s">
        <v>123</v>
      </c>
      <c r="G5" s="20">
        <f t="shared" si="0"/>
        <v>9.9831409706857541E-2</v>
      </c>
      <c r="H5" s="20">
        <f t="shared" si="0"/>
        <v>9.9831409706857541E-2</v>
      </c>
      <c r="J5" s="58" t="s">
        <v>317</v>
      </c>
      <c r="K5">
        <f>SUM(D12:D21)</f>
        <v>538</v>
      </c>
      <c r="L5" s="20">
        <f t="shared" ref="L5:L11" si="1">K5/$D$104</f>
        <v>1.1302521008403361E-2</v>
      </c>
    </row>
    <row r="6" spans="1:12">
      <c r="B6" t="s">
        <v>127</v>
      </c>
      <c r="C6">
        <v>4</v>
      </c>
      <c r="D6">
        <v>2</v>
      </c>
      <c r="E6">
        <v>3995783</v>
      </c>
      <c r="F6" t="s">
        <v>123</v>
      </c>
      <c r="G6" s="20">
        <f t="shared" si="0"/>
        <v>5.0052768130801895E-2</v>
      </c>
      <c r="H6" s="20">
        <f t="shared" si="0"/>
        <v>5.0052768130801895E-2</v>
      </c>
      <c r="J6" t="s">
        <v>318</v>
      </c>
      <c r="K6">
        <f>SUM(D22:D31)</f>
        <v>9960</v>
      </c>
      <c r="L6" s="20">
        <f t="shared" si="1"/>
        <v>0.2092436974789916</v>
      </c>
    </row>
    <row r="7" spans="1:12">
      <c r="B7" t="s">
        <v>128</v>
      </c>
      <c r="C7">
        <v>5</v>
      </c>
      <c r="D7">
        <v>0</v>
      </c>
      <c r="E7">
        <v>4001318</v>
      </c>
      <c r="F7" t="s">
        <v>123</v>
      </c>
      <c r="G7" s="20">
        <f t="shared" si="0"/>
        <v>0</v>
      </c>
      <c r="H7" s="20">
        <f t="shared" si="0"/>
        <v>0</v>
      </c>
      <c r="J7" t="s">
        <v>319</v>
      </c>
      <c r="K7">
        <f>SUM(D32:D41)</f>
        <v>13116</v>
      </c>
      <c r="L7" s="20">
        <f t="shared" si="1"/>
        <v>0.27554621848739497</v>
      </c>
    </row>
    <row r="8" spans="1:12">
      <c r="B8" t="s">
        <v>129</v>
      </c>
      <c r="C8">
        <v>6</v>
      </c>
      <c r="D8">
        <v>2</v>
      </c>
      <c r="E8">
        <v>4045532</v>
      </c>
      <c r="F8" t="s">
        <v>123</v>
      </c>
      <c r="G8" s="20">
        <f t="shared" si="0"/>
        <v>4.9437255718160183E-2</v>
      </c>
      <c r="H8" s="20">
        <f t="shared" si="0"/>
        <v>4.9437255718160183E-2</v>
      </c>
      <c r="J8" t="s">
        <v>320</v>
      </c>
      <c r="K8">
        <f>SUM(D42:D51)</f>
        <v>9921</v>
      </c>
      <c r="L8" s="20">
        <f t="shared" si="1"/>
        <v>0.20842436974789916</v>
      </c>
    </row>
    <row r="9" spans="1:12">
      <c r="B9" t="s">
        <v>130</v>
      </c>
      <c r="C9">
        <v>7</v>
      </c>
      <c r="D9">
        <v>0</v>
      </c>
      <c r="E9">
        <v>4042379</v>
      </c>
      <c r="F9" t="s">
        <v>123</v>
      </c>
      <c r="G9" s="20">
        <f t="shared" si="0"/>
        <v>0</v>
      </c>
      <c r="H9" s="20">
        <f t="shared" si="0"/>
        <v>0</v>
      </c>
      <c r="J9" t="s">
        <v>321</v>
      </c>
      <c r="K9">
        <f>SUM(D52:D61)</f>
        <v>9650</v>
      </c>
      <c r="L9" s="20">
        <f t="shared" si="1"/>
        <v>0.20273109243697479</v>
      </c>
    </row>
    <row r="10" spans="1:12">
      <c r="B10" t="s">
        <v>131</v>
      </c>
      <c r="C10">
        <v>8</v>
      </c>
      <c r="D10">
        <v>1</v>
      </c>
      <c r="E10">
        <v>4042838</v>
      </c>
      <c r="F10" t="s">
        <v>123</v>
      </c>
      <c r="G10" s="20">
        <f t="shared" si="0"/>
        <v>2.4735099452414366E-2</v>
      </c>
      <c r="H10" s="20">
        <f t="shared" si="0"/>
        <v>2.4735099452414366E-2</v>
      </c>
      <c r="J10" t="s">
        <v>322</v>
      </c>
      <c r="K10">
        <f>SUM(D62:D71)</f>
        <v>3727</v>
      </c>
      <c r="L10" s="20">
        <f t="shared" si="1"/>
        <v>7.8298319327731097E-2</v>
      </c>
    </row>
    <row r="11" spans="1:12">
      <c r="B11" t="s">
        <v>132</v>
      </c>
      <c r="C11">
        <v>9</v>
      </c>
      <c r="D11">
        <v>0</v>
      </c>
      <c r="E11">
        <v>4172171</v>
      </c>
      <c r="F11" t="s">
        <v>123</v>
      </c>
      <c r="G11" s="20">
        <f t="shared" si="0"/>
        <v>0</v>
      </c>
      <c r="H11" s="20">
        <f t="shared" si="0"/>
        <v>0</v>
      </c>
      <c r="J11" t="s">
        <v>323</v>
      </c>
      <c r="K11">
        <f>SUM(D72:D81)</f>
        <v>490</v>
      </c>
      <c r="L11" s="20">
        <f t="shared" si="1"/>
        <v>1.0294117647058823E-2</v>
      </c>
    </row>
    <row r="12" spans="1:12">
      <c r="B12" t="s">
        <v>133</v>
      </c>
      <c r="C12">
        <v>10</v>
      </c>
      <c r="D12">
        <v>2</v>
      </c>
      <c r="E12">
        <v>4191919</v>
      </c>
      <c r="F12" t="s">
        <v>123</v>
      </c>
      <c r="G12" s="20">
        <f t="shared" si="0"/>
        <v>4.7710845557845938E-2</v>
      </c>
      <c r="H12" s="20">
        <f t="shared" si="0"/>
        <v>4.7710845557845938E-2</v>
      </c>
      <c r="J12" t="s">
        <v>324</v>
      </c>
      <c r="K12">
        <f>SUM(D82:D103)</f>
        <v>150</v>
      </c>
      <c r="L12" s="20">
        <f>K12/$D$104</f>
        <v>3.1512605042016808E-3</v>
      </c>
    </row>
    <row r="13" spans="1:12">
      <c r="B13" t="s">
        <v>134</v>
      </c>
      <c r="C13">
        <v>11</v>
      </c>
      <c r="D13">
        <v>2</v>
      </c>
      <c r="E13">
        <v>4157962</v>
      </c>
      <c r="F13" t="s">
        <v>123</v>
      </c>
      <c r="G13" s="20">
        <f t="shared" si="0"/>
        <v>4.8100487690844698E-2</v>
      </c>
      <c r="H13" s="20">
        <f t="shared" si="0"/>
        <v>4.8100487690844698E-2</v>
      </c>
    </row>
    <row r="14" spans="1:12">
      <c r="B14" t="s">
        <v>135</v>
      </c>
      <c r="C14">
        <v>12</v>
      </c>
      <c r="D14">
        <v>5</v>
      </c>
      <c r="E14">
        <v>4145953</v>
      </c>
      <c r="F14" t="s">
        <v>123</v>
      </c>
      <c r="G14" s="20">
        <f t="shared" si="0"/>
        <v>0.12059953405164023</v>
      </c>
      <c r="H14" s="20">
        <f t="shared" si="0"/>
        <v>0.12059953405164023</v>
      </c>
    </row>
    <row r="15" spans="1:12">
      <c r="B15" t="s">
        <v>136</v>
      </c>
      <c r="C15">
        <v>13</v>
      </c>
      <c r="D15">
        <v>7</v>
      </c>
      <c r="E15">
        <v>4155315</v>
      </c>
      <c r="F15" t="s">
        <v>123</v>
      </c>
      <c r="G15" s="20">
        <f t="shared" si="0"/>
        <v>0.16845894956218721</v>
      </c>
      <c r="H15" s="20">
        <f t="shared" si="0"/>
        <v>0.16845894956218721</v>
      </c>
      <c r="J15" t="s">
        <v>325</v>
      </c>
      <c r="K15">
        <f>SUM(D37:D52)</f>
        <v>17183</v>
      </c>
      <c r="L15" s="20">
        <f>K15/$D$104</f>
        <v>0.36098739495798321</v>
      </c>
    </row>
    <row r="16" spans="1:12">
      <c r="B16" t="s">
        <v>137</v>
      </c>
      <c r="C16">
        <v>14</v>
      </c>
      <c r="D16">
        <v>15</v>
      </c>
      <c r="E16">
        <v>4127305</v>
      </c>
      <c r="F16" t="s">
        <v>123</v>
      </c>
      <c r="G16" s="20">
        <f t="shared" si="0"/>
        <v>0.36343328152389998</v>
      </c>
      <c r="H16" s="20">
        <f t="shared" si="0"/>
        <v>0.36343328152389998</v>
      </c>
      <c r="J16" t="s">
        <v>326</v>
      </c>
      <c r="K16">
        <f>SUM(D32:D52)</f>
        <v>23991</v>
      </c>
      <c r="L16" s="20">
        <f>K16/$D$104</f>
        <v>0.50401260504201684</v>
      </c>
    </row>
    <row r="17" spans="2:12">
      <c r="B17" t="s">
        <v>138</v>
      </c>
      <c r="C17">
        <v>15</v>
      </c>
      <c r="D17">
        <v>14</v>
      </c>
      <c r="E17">
        <v>4114560</v>
      </c>
      <c r="F17" t="s">
        <v>123</v>
      </c>
      <c r="G17" s="20">
        <f t="shared" si="0"/>
        <v>0.34025509410483745</v>
      </c>
      <c r="H17" s="20">
        <f t="shared" si="0"/>
        <v>0.34025509410483745</v>
      </c>
      <c r="J17" t="s">
        <v>328</v>
      </c>
      <c r="K17">
        <f>SUM(D47:D67)</f>
        <v>17668</v>
      </c>
      <c r="L17" s="20">
        <f>K17/$D$104</f>
        <v>0.37117647058823527</v>
      </c>
    </row>
    <row r="18" spans="2:12">
      <c r="B18" t="s">
        <v>139</v>
      </c>
      <c r="C18">
        <v>16</v>
      </c>
      <c r="D18">
        <v>19</v>
      </c>
      <c r="E18">
        <v>4222691</v>
      </c>
      <c r="F18" t="s">
        <v>123</v>
      </c>
      <c r="G18" s="20">
        <f t="shared" si="0"/>
        <v>0.4499500437043582</v>
      </c>
      <c r="H18" s="20">
        <f t="shared" si="0"/>
        <v>0.4499500437043582</v>
      </c>
    </row>
    <row r="19" spans="2:12">
      <c r="B19" t="s">
        <v>140</v>
      </c>
      <c r="C19">
        <v>17</v>
      </c>
      <c r="D19">
        <v>64</v>
      </c>
      <c r="E19">
        <v>4296575</v>
      </c>
      <c r="F19">
        <v>1.49</v>
      </c>
      <c r="G19" s="20">
        <f t="shared" si="0"/>
        <v>1.49</v>
      </c>
      <c r="H19" s="20">
        <f t="shared" si="0"/>
        <v>1.49</v>
      </c>
    </row>
    <row r="20" spans="2:12">
      <c r="B20" t="s">
        <v>141</v>
      </c>
      <c r="C20">
        <v>18</v>
      </c>
      <c r="D20">
        <v>139</v>
      </c>
      <c r="E20">
        <v>4241226</v>
      </c>
      <c r="F20">
        <v>3.2770000000000001</v>
      </c>
      <c r="G20" s="20">
        <f t="shared" si="0"/>
        <v>3.2770000000000001</v>
      </c>
      <c r="H20" s="20">
        <f t="shared" si="0"/>
        <v>3.2770000000000001</v>
      </c>
    </row>
    <row r="21" spans="2:12">
      <c r="B21" t="s">
        <v>142</v>
      </c>
      <c r="C21">
        <v>19</v>
      </c>
      <c r="D21">
        <v>271</v>
      </c>
      <c r="E21">
        <v>4256608</v>
      </c>
      <c r="F21">
        <v>6.367</v>
      </c>
      <c r="G21" s="20">
        <f t="shared" si="0"/>
        <v>6.367</v>
      </c>
      <c r="H21" s="20">
        <f t="shared" si="0"/>
        <v>6.367</v>
      </c>
    </row>
    <row r="22" spans="2:12">
      <c r="B22" t="s">
        <v>143</v>
      </c>
      <c r="C22">
        <v>20</v>
      </c>
      <c r="D22">
        <v>406</v>
      </c>
      <c r="E22">
        <v>4276745</v>
      </c>
      <c r="F22">
        <v>9.4930000000000003</v>
      </c>
      <c r="G22" s="20">
        <f t="shared" si="0"/>
        <v>9.4930000000000003</v>
      </c>
      <c r="H22" s="20">
        <f t="shared" si="0"/>
        <v>9.4930000000000003</v>
      </c>
      <c r="L22" t="s">
        <v>327</v>
      </c>
    </row>
    <row r="23" spans="2:12">
      <c r="B23" t="s">
        <v>144</v>
      </c>
      <c r="C23">
        <v>21</v>
      </c>
      <c r="D23">
        <v>549</v>
      </c>
      <c r="E23">
        <v>4318304</v>
      </c>
      <c r="F23">
        <v>12.712999999999999</v>
      </c>
      <c r="G23" s="20">
        <f t="shared" si="0"/>
        <v>12.712999999999999</v>
      </c>
      <c r="H23" s="20">
        <f t="shared" si="0"/>
        <v>12.712999999999999</v>
      </c>
    </row>
    <row r="24" spans="2:12">
      <c r="B24" t="s">
        <v>145</v>
      </c>
      <c r="C24">
        <v>22</v>
      </c>
      <c r="D24">
        <v>702</v>
      </c>
      <c r="E24">
        <v>4420763</v>
      </c>
      <c r="F24">
        <v>15.88</v>
      </c>
      <c r="G24" s="20">
        <f t="shared" si="0"/>
        <v>15.88</v>
      </c>
      <c r="H24" s="20">
        <f t="shared" si="0"/>
        <v>15.88</v>
      </c>
    </row>
    <row r="25" spans="2:12">
      <c r="B25" t="s">
        <v>146</v>
      </c>
      <c r="C25">
        <v>23</v>
      </c>
      <c r="D25">
        <v>913</v>
      </c>
      <c r="E25">
        <v>4515308</v>
      </c>
      <c r="F25">
        <v>20.22</v>
      </c>
      <c r="G25" s="20">
        <f t="shared" si="0"/>
        <v>20.22</v>
      </c>
      <c r="H25" s="20">
        <f t="shared" si="0"/>
        <v>20.22</v>
      </c>
    </row>
    <row r="26" spans="2:12">
      <c r="B26" t="s">
        <v>147</v>
      </c>
      <c r="C26">
        <v>24</v>
      </c>
      <c r="D26">
        <v>1017</v>
      </c>
      <c r="E26">
        <v>4587515</v>
      </c>
      <c r="F26">
        <v>22.169</v>
      </c>
      <c r="G26" s="20">
        <f t="shared" si="0"/>
        <v>22.169</v>
      </c>
      <c r="H26" s="20">
        <f t="shared" si="0"/>
        <v>22.169</v>
      </c>
    </row>
    <row r="27" spans="2:12">
      <c r="B27" t="s">
        <v>148</v>
      </c>
      <c r="C27">
        <v>25</v>
      </c>
      <c r="D27">
        <v>1099</v>
      </c>
      <c r="E27">
        <v>4708854</v>
      </c>
      <c r="F27">
        <v>23.338999999999999</v>
      </c>
      <c r="G27" s="20">
        <f t="shared" si="0"/>
        <v>23.338999999999999</v>
      </c>
      <c r="H27" s="20">
        <f t="shared" si="0"/>
        <v>23.338999999999999</v>
      </c>
    </row>
    <row r="28" spans="2:12">
      <c r="B28" t="s">
        <v>149</v>
      </c>
      <c r="C28">
        <v>26</v>
      </c>
      <c r="D28">
        <v>1208</v>
      </c>
      <c r="E28">
        <v>4794326</v>
      </c>
      <c r="F28">
        <v>25.196000000000002</v>
      </c>
      <c r="G28" s="20">
        <f t="shared" si="0"/>
        <v>25.196000000000002</v>
      </c>
      <c r="H28" s="20">
        <f t="shared" si="0"/>
        <v>25.196000000000002</v>
      </c>
    </row>
    <row r="29" spans="2:12">
      <c r="B29" t="s">
        <v>150</v>
      </c>
      <c r="C29">
        <v>27</v>
      </c>
      <c r="D29">
        <v>1350</v>
      </c>
      <c r="E29">
        <v>4784135</v>
      </c>
      <c r="F29">
        <v>28.218</v>
      </c>
      <c r="G29" s="20">
        <f t="shared" si="0"/>
        <v>28.218</v>
      </c>
      <c r="H29" s="20">
        <f t="shared" si="0"/>
        <v>28.218</v>
      </c>
    </row>
    <row r="30" spans="2:12">
      <c r="B30" t="s">
        <v>151</v>
      </c>
      <c r="C30">
        <v>28</v>
      </c>
      <c r="D30">
        <v>1381</v>
      </c>
      <c r="E30">
        <v>4595406</v>
      </c>
      <c r="F30">
        <v>30.052</v>
      </c>
      <c r="G30" s="20">
        <f t="shared" si="0"/>
        <v>30.052</v>
      </c>
      <c r="H30" s="20">
        <f t="shared" si="0"/>
        <v>30.052</v>
      </c>
    </row>
    <row r="31" spans="2:12">
      <c r="B31" t="s">
        <v>152</v>
      </c>
      <c r="C31">
        <v>29</v>
      </c>
      <c r="D31">
        <v>1335</v>
      </c>
      <c r="E31">
        <v>4487739</v>
      </c>
      <c r="F31">
        <v>29.748000000000001</v>
      </c>
      <c r="G31" s="20">
        <f t="shared" si="0"/>
        <v>29.748000000000001</v>
      </c>
      <c r="H31" s="20">
        <f t="shared" si="0"/>
        <v>29.748000000000001</v>
      </c>
    </row>
    <row r="32" spans="2:12">
      <c r="B32" t="s">
        <v>153</v>
      </c>
      <c r="C32">
        <v>30</v>
      </c>
      <c r="D32">
        <v>1278</v>
      </c>
      <c r="E32">
        <v>4410631</v>
      </c>
      <c r="F32">
        <v>28.975000000000001</v>
      </c>
      <c r="G32" s="20">
        <f t="shared" si="0"/>
        <v>28.975000000000001</v>
      </c>
      <c r="H32" s="20">
        <f t="shared" si="0"/>
        <v>28.975000000000001</v>
      </c>
    </row>
    <row r="33" spans="2:8">
      <c r="B33" t="s">
        <v>154</v>
      </c>
      <c r="C33">
        <v>31</v>
      </c>
      <c r="D33">
        <v>1335</v>
      </c>
      <c r="E33">
        <v>4425408</v>
      </c>
      <c r="F33">
        <v>30.167000000000002</v>
      </c>
      <c r="G33" s="20">
        <f t="shared" si="0"/>
        <v>30.167000000000002</v>
      </c>
      <c r="H33" s="20">
        <f t="shared" si="0"/>
        <v>30.167000000000002</v>
      </c>
    </row>
    <row r="34" spans="2:8">
      <c r="B34" t="s">
        <v>155</v>
      </c>
      <c r="C34">
        <v>32</v>
      </c>
      <c r="D34">
        <v>1429</v>
      </c>
      <c r="E34">
        <v>4453718</v>
      </c>
      <c r="F34">
        <v>32.085999999999999</v>
      </c>
      <c r="G34" s="20">
        <f t="shared" si="0"/>
        <v>32.085999999999999</v>
      </c>
      <c r="H34" s="20">
        <f t="shared" si="0"/>
        <v>32.085999999999999</v>
      </c>
    </row>
    <row r="35" spans="2:8">
      <c r="B35" t="s">
        <v>156</v>
      </c>
      <c r="C35">
        <v>33</v>
      </c>
      <c r="D35">
        <v>1399</v>
      </c>
      <c r="E35">
        <v>4310977</v>
      </c>
      <c r="F35">
        <v>32.451999999999998</v>
      </c>
      <c r="G35" s="20">
        <f t="shared" si="0"/>
        <v>32.451999999999998</v>
      </c>
      <c r="H35" s="20">
        <f t="shared" si="0"/>
        <v>32.451999999999998</v>
      </c>
    </row>
    <row r="36" spans="2:8">
      <c r="B36" t="s">
        <v>157</v>
      </c>
      <c r="C36">
        <v>34</v>
      </c>
      <c r="D36">
        <v>1367</v>
      </c>
      <c r="E36">
        <v>4371478</v>
      </c>
      <c r="F36">
        <v>31.271000000000001</v>
      </c>
      <c r="G36" s="20">
        <f t="shared" si="0"/>
        <v>31.271000000000001</v>
      </c>
      <c r="H36" s="20">
        <f t="shared" si="0"/>
        <v>31.271000000000001</v>
      </c>
    </row>
    <row r="37" spans="2:8">
      <c r="B37" t="s">
        <v>158</v>
      </c>
      <c r="C37">
        <v>35</v>
      </c>
      <c r="D37">
        <v>1395</v>
      </c>
      <c r="E37">
        <v>4364947</v>
      </c>
      <c r="F37">
        <v>31.959</v>
      </c>
      <c r="G37" s="20">
        <f t="shared" si="0"/>
        <v>31.959</v>
      </c>
      <c r="H37" s="20">
        <f t="shared" si="0"/>
        <v>31.959</v>
      </c>
    </row>
    <row r="38" spans="2:8">
      <c r="B38" t="s">
        <v>159</v>
      </c>
      <c r="C38">
        <v>36</v>
      </c>
      <c r="D38">
        <v>1321</v>
      </c>
      <c r="E38">
        <v>4313987</v>
      </c>
      <c r="F38">
        <v>30.620999999999999</v>
      </c>
      <c r="G38" s="20">
        <f t="shared" si="0"/>
        <v>30.620999999999999</v>
      </c>
      <c r="H38" s="20">
        <f t="shared" si="0"/>
        <v>30.620999999999999</v>
      </c>
    </row>
    <row r="39" spans="2:8">
      <c r="B39" t="s">
        <v>160</v>
      </c>
      <c r="C39">
        <v>37</v>
      </c>
      <c r="D39">
        <v>1258</v>
      </c>
      <c r="E39">
        <v>4394351</v>
      </c>
      <c r="F39">
        <v>28.628</v>
      </c>
      <c r="G39" s="20">
        <f t="shared" si="0"/>
        <v>28.628</v>
      </c>
      <c r="H39" s="20">
        <f t="shared" si="0"/>
        <v>28.628</v>
      </c>
    </row>
    <row r="40" spans="2:8">
      <c r="B40" t="s">
        <v>161</v>
      </c>
      <c r="C40">
        <v>38</v>
      </c>
      <c r="D40">
        <v>1146</v>
      </c>
      <c r="E40">
        <v>4120468</v>
      </c>
      <c r="F40">
        <v>27.812000000000001</v>
      </c>
      <c r="G40" s="20">
        <f t="shared" si="0"/>
        <v>27.812000000000001</v>
      </c>
      <c r="H40" s="20">
        <f t="shared" si="0"/>
        <v>27.812000000000001</v>
      </c>
    </row>
    <row r="41" spans="2:8">
      <c r="B41" t="s">
        <v>162</v>
      </c>
      <c r="C41">
        <v>39</v>
      </c>
      <c r="D41">
        <v>1188</v>
      </c>
      <c r="E41">
        <v>4038244</v>
      </c>
      <c r="F41">
        <v>29.419</v>
      </c>
      <c r="G41" s="20">
        <f t="shared" si="0"/>
        <v>29.419</v>
      </c>
      <c r="H41" s="20">
        <f t="shared" si="0"/>
        <v>29.419</v>
      </c>
    </row>
    <row r="42" spans="2:8">
      <c r="B42" t="s">
        <v>163</v>
      </c>
      <c r="C42">
        <v>40</v>
      </c>
      <c r="D42">
        <v>1057</v>
      </c>
      <c r="E42">
        <v>3994423</v>
      </c>
      <c r="F42">
        <v>26.462</v>
      </c>
      <c r="G42" s="20">
        <f t="shared" si="0"/>
        <v>26.462</v>
      </c>
      <c r="H42" s="20">
        <f t="shared" si="0"/>
        <v>26.462</v>
      </c>
    </row>
    <row r="43" spans="2:8">
      <c r="B43" t="s">
        <v>164</v>
      </c>
      <c r="C43">
        <v>41</v>
      </c>
      <c r="D43">
        <v>1028</v>
      </c>
      <c r="E43">
        <v>3875738</v>
      </c>
      <c r="F43">
        <v>26.524000000000001</v>
      </c>
      <c r="G43" s="20">
        <f t="shared" si="0"/>
        <v>26.524000000000001</v>
      </c>
      <c r="H43" s="20">
        <f t="shared" si="0"/>
        <v>26.524000000000001</v>
      </c>
    </row>
    <row r="44" spans="2:8">
      <c r="B44" t="s">
        <v>165</v>
      </c>
      <c r="C44">
        <v>42</v>
      </c>
      <c r="D44">
        <v>941</v>
      </c>
      <c r="E44">
        <v>3990700</v>
      </c>
      <c r="F44">
        <v>23.58</v>
      </c>
      <c r="G44" s="20">
        <f t="shared" si="0"/>
        <v>23.58</v>
      </c>
      <c r="H44" s="20">
        <f t="shared" si="0"/>
        <v>23.58</v>
      </c>
    </row>
    <row r="45" spans="2:8">
      <c r="B45" t="s">
        <v>166</v>
      </c>
      <c r="C45">
        <v>43</v>
      </c>
      <c r="D45">
        <v>939</v>
      </c>
      <c r="E45">
        <v>3863455</v>
      </c>
      <c r="F45">
        <v>24.305</v>
      </c>
      <c r="G45" s="20">
        <f t="shared" si="0"/>
        <v>24.305</v>
      </c>
      <c r="H45" s="20">
        <f t="shared" si="0"/>
        <v>24.305</v>
      </c>
    </row>
    <row r="46" spans="2:8">
      <c r="B46" t="s">
        <v>167</v>
      </c>
      <c r="C46">
        <v>44</v>
      </c>
      <c r="D46">
        <v>876</v>
      </c>
      <c r="E46">
        <v>3919057</v>
      </c>
      <c r="F46">
        <v>22.352</v>
      </c>
      <c r="G46" s="20">
        <f t="shared" si="0"/>
        <v>22.352</v>
      </c>
      <c r="H46" s="20">
        <f t="shared" si="0"/>
        <v>22.352</v>
      </c>
    </row>
    <row r="47" spans="2:8">
      <c r="B47" t="s">
        <v>168</v>
      </c>
      <c r="C47">
        <v>45</v>
      </c>
      <c r="D47">
        <v>992</v>
      </c>
      <c r="E47">
        <v>4091579</v>
      </c>
      <c r="F47">
        <v>24.245000000000001</v>
      </c>
      <c r="G47" s="20">
        <f t="shared" si="0"/>
        <v>24.245000000000001</v>
      </c>
      <c r="H47" s="20">
        <f t="shared" si="0"/>
        <v>24.245000000000001</v>
      </c>
    </row>
    <row r="48" spans="2:8">
      <c r="B48" t="s">
        <v>169</v>
      </c>
      <c r="C48">
        <v>46</v>
      </c>
      <c r="D48">
        <v>1034</v>
      </c>
      <c r="E48">
        <v>4320583</v>
      </c>
      <c r="F48">
        <v>23.931999999999999</v>
      </c>
      <c r="G48" s="20">
        <f t="shared" si="0"/>
        <v>23.931999999999999</v>
      </c>
      <c r="H48" s="20">
        <f t="shared" si="0"/>
        <v>23.931999999999999</v>
      </c>
    </row>
    <row r="49" spans="2:8">
      <c r="B49" t="s">
        <v>170</v>
      </c>
      <c r="C49">
        <v>47</v>
      </c>
      <c r="D49">
        <v>1095</v>
      </c>
      <c r="E49">
        <v>4370964</v>
      </c>
      <c r="F49">
        <v>25.052</v>
      </c>
      <c r="G49" s="20">
        <f t="shared" si="0"/>
        <v>25.052</v>
      </c>
      <c r="H49" s="20">
        <f t="shared" si="0"/>
        <v>25.052</v>
      </c>
    </row>
    <row r="50" spans="2:8">
      <c r="B50" t="s">
        <v>171</v>
      </c>
      <c r="C50">
        <v>48</v>
      </c>
      <c r="D50">
        <v>986</v>
      </c>
      <c r="E50">
        <v>4140010</v>
      </c>
      <c r="F50">
        <v>23.815999999999999</v>
      </c>
      <c r="G50" s="20">
        <f t="shared" si="0"/>
        <v>23.815999999999999</v>
      </c>
      <c r="H50" s="20">
        <f t="shared" si="0"/>
        <v>23.815999999999999</v>
      </c>
    </row>
    <row r="51" spans="2:8">
      <c r="B51" t="s">
        <v>172</v>
      </c>
      <c r="C51">
        <v>49</v>
      </c>
      <c r="D51">
        <v>973</v>
      </c>
      <c r="E51">
        <v>4050722</v>
      </c>
      <c r="F51">
        <v>24.02</v>
      </c>
      <c r="G51" s="20">
        <f t="shared" si="0"/>
        <v>24.02</v>
      </c>
      <c r="H51" s="20">
        <f t="shared" si="0"/>
        <v>24.02</v>
      </c>
    </row>
    <row r="52" spans="2:8">
      <c r="B52" t="s">
        <v>173</v>
      </c>
      <c r="C52">
        <v>50</v>
      </c>
      <c r="D52">
        <v>954</v>
      </c>
      <c r="E52">
        <v>4051078</v>
      </c>
      <c r="F52">
        <v>23.548999999999999</v>
      </c>
      <c r="G52" s="20">
        <f t="shared" si="0"/>
        <v>23.548999999999999</v>
      </c>
      <c r="H52" s="20">
        <f t="shared" si="0"/>
        <v>23.548999999999999</v>
      </c>
    </row>
    <row r="53" spans="2:8">
      <c r="B53" t="s">
        <v>174</v>
      </c>
      <c r="C53">
        <v>51</v>
      </c>
      <c r="D53">
        <v>1021</v>
      </c>
      <c r="E53">
        <v>4121394</v>
      </c>
      <c r="F53">
        <v>24.773</v>
      </c>
      <c r="G53" s="20">
        <f t="shared" si="0"/>
        <v>24.773</v>
      </c>
      <c r="H53" s="20">
        <f t="shared" si="0"/>
        <v>24.773</v>
      </c>
    </row>
    <row r="54" spans="2:8">
      <c r="B54" t="s">
        <v>175</v>
      </c>
      <c r="C54">
        <v>52</v>
      </c>
      <c r="D54">
        <v>996</v>
      </c>
      <c r="E54">
        <v>4363205</v>
      </c>
      <c r="F54">
        <v>22.827000000000002</v>
      </c>
      <c r="G54" s="20">
        <f t="shared" si="0"/>
        <v>22.827000000000002</v>
      </c>
      <c r="H54" s="20">
        <f t="shared" si="0"/>
        <v>22.827000000000002</v>
      </c>
    </row>
    <row r="55" spans="2:8">
      <c r="B55" t="s">
        <v>176</v>
      </c>
      <c r="C55">
        <v>53</v>
      </c>
      <c r="D55">
        <v>1086</v>
      </c>
      <c r="E55">
        <v>4437426</v>
      </c>
      <c r="F55">
        <v>24.474</v>
      </c>
      <c r="G55" s="20">
        <f t="shared" si="0"/>
        <v>24.474</v>
      </c>
      <c r="H55" s="20">
        <f t="shared" si="0"/>
        <v>24.474</v>
      </c>
    </row>
    <row r="56" spans="2:8">
      <c r="B56" t="s">
        <v>177</v>
      </c>
      <c r="C56">
        <v>54</v>
      </c>
      <c r="D56">
        <v>1070</v>
      </c>
      <c r="E56">
        <v>4427991</v>
      </c>
      <c r="F56">
        <v>24.164000000000001</v>
      </c>
      <c r="G56" s="20">
        <f t="shared" si="0"/>
        <v>24.164000000000001</v>
      </c>
      <c r="H56" s="20">
        <f t="shared" si="0"/>
        <v>24.164000000000001</v>
      </c>
    </row>
    <row r="57" spans="2:8">
      <c r="B57" t="s">
        <v>178</v>
      </c>
      <c r="C57">
        <v>55</v>
      </c>
      <c r="D57">
        <v>1020</v>
      </c>
      <c r="E57">
        <v>4413266</v>
      </c>
      <c r="F57">
        <v>23.111999999999998</v>
      </c>
      <c r="G57" s="20">
        <f t="shared" si="0"/>
        <v>23.111999999999998</v>
      </c>
      <c r="H57" s="20">
        <f t="shared" si="0"/>
        <v>23.111999999999998</v>
      </c>
    </row>
    <row r="58" spans="2:8">
      <c r="B58" t="s">
        <v>179</v>
      </c>
      <c r="C58">
        <v>56</v>
      </c>
      <c r="D58">
        <v>949</v>
      </c>
      <c r="E58">
        <v>4461346</v>
      </c>
      <c r="F58">
        <v>21.271999999999998</v>
      </c>
      <c r="G58" s="20">
        <f t="shared" si="0"/>
        <v>21.271999999999998</v>
      </c>
      <c r="H58" s="20">
        <f t="shared" si="0"/>
        <v>21.271999999999998</v>
      </c>
    </row>
    <row r="59" spans="2:8">
      <c r="B59" t="s">
        <v>180</v>
      </c>
      <c r="C59">
        <v>57</v>
      </c>
      <c r="D59">
        <v>938</v>
      </c>
      <c r="E59">
        <v>4493573</v>
      </c>
      <c r="F59">
        <v>20.873999999999999</v>
      </c>
      <c r="G59" s="20">
        <f t="shared" si="0"/>
        <v>20.873999999999999</v>
      </c>
      <c r="H59" s="20">
        <f t="shared" si="0"/>
        <v>20.873999999999999</v>
      </c>
    </row>
    <row r="60" spans="2:8">
      <c r="B60" t="s">
        <v>181</v>
      </c>
      <c r="C60">
        <v>58</v>
      </c>
      <c r="D60">
        <v>868</v>
      </c>
      <c r="E60">
        <v>4335891</v>
      </c>
      <c r="F60">
        <v>20.018999999999998</v>
      </c>
      <c r="G60" s="20">
        <f t="shared" si="0"/>
        <v>20.018999999999998</v>
      </c>
      <c r="H60" s="20">
        <f t="shared" si="0"/>
        <v>20.018999999999998</v>
      </c>
    </row>
    <row r="61" spans="2:8">
      <c r="B61" t="s">
        <v>182</v>
      </c>
      <c r="C61">
        <v>59</v>
      </c>
      <c r="D61">
        <v>748</v>
      </c>
      <c r="E61">
        <v>4303880</v>
      </c>
      <c r="F61">
        <v>17.38</v>
      </c>
      <c r="G61" s="20">
        <f t="shared" si="0"/>
        <v>17.38</v>
      </c>
      <c r="H61" s="20">
        <f t="shared" si="0"/>
        <v>17.38</v>
      </c>
    </row>
    <row r="62" spans="2:8">
      <c r="B62" t="s">
        <v>183</v>
      </c>
      <c r="C62">
        <v>60</v>
      </c>
      <c r="D62">
        <v>683</v>
      </c>
      <c r="E62">
        <v>4249921</v>
      </c>
      <c r="F62">
        <v>16.071000000000002</v>
      </c>
      <c r="G62" s="20">
        <f t="shared" si="0"/>
        <v>16.071000000000002</v>
      </c>
      <c r="H62" s="20">
        <f t="shared" si="0"/>
        <v>16.071000000000002</v>
      </c>
    </row>
    <row r="63" spans="2:8">
      <c r="B63" t="s">
        <v>184</v>
      </c>
      <c r="C63">
        <v>61</v>
      </c>
      <c r="D63">
        <v>585</v>
      </c>
      <c r="E63">
        <v>4091662</v>
      </c>
      <c r="F63">
        <v>14.297000000000001</v>
      </c>
      <c r="G63" s="20">
        <f t="shared" si="0"/>
        <v>14.297000000000001</v>
      </c>
      <c r="H63" s="20">
        <f t="shared" si="0"/>
        <v>14.297000000000001</v>
      </c>
    </row>
    <row r="64" spans="2:8">
      <c r="B64" t="s">
        <v>185</v>
      </c>
      <c r="C64">
        <v>62</v>
      </c>
      <c r="D64">
        <v>529</v>
      </c>
      <c r="E64">
        <v>4050159</v>
      </c>
      <c r="F64">
        <v>13.061</v>
      </c>
      <c r="G64" s="20">
        <f t="shared" si="0"/>
        <v>13.061</v>
      </c>
      <c r="H64" s="20">
        <f t="shared" si="0"/>
        <v>13.061</v>
      </c>
    </row>
    <row r="65" spans="2:8">
      <c r="B65" t="s">
        <v>186</v>
      </c>
      <c r="C65">
        <v>63</v>
      </c>
      <c r="D65">
        <v>439</v>
      </c>
      <c r="E65">
        <v>3875907</v>
      </c>
      <c r="F65">
        <v>11.326000000000001</v>
      </c>
      <c r="G65" s="20">
        <f t="shared" si="0"/>
        <v>11.326000000000001</v>
      </c>
      <c r="H65" s="20">
        <f t="shared" si="0"/>
        <v>11.326000000000001</v>
      </c>
    </row>
    <row r="66" spans="2:8">
      <c r="B66" t="s">
        <v>187</v>
      </c>
      <c r="C66">
        <v>64</v>
      </c>
      <c r="D66">
        <v>394</v>
      </c>
      <c r="E66">
        <v>3720053</v>
      </c>
      <c r="F66">
        <v>10.590999999999999</v>
      </c>
      <c r="G66" s="20">
        <f t="shared" si="0"/>
        <v>10.590999999999999</v>
      </c>
      <c r="H66" s="20">
        <f t="shared" si="0"/>
        <v>10.590999999999999</v>
      </c>
    </row>
    <row r="67" spans="2:8">
      <c r="B67" t="s">
        <v>188</v>
      </c>
      <c r="C67">
        <v>65</v>
      </c>
      <c r="D67">
        <v>308</v>
      </c>
      <c r="E67">
        <v>3567978</v>
      </c>
      <c r="F67">
        <v>8.6319999999999997</v>
      </c>
      <c r="G67" s="20">
        <f t="shared" ref="G67:H103" si="2">IF($F67="Unreliable",$D67/$E67*100000,F67)</f>
        <v>8.6319999999999997</v>
      </c>
      <c r="H67" s="20">
        <f t="shared" si="2"/>
        <v>8.6319999999999997</v>
      </c>
    </row>
    <row r="68" spans="2:8">
      <c r="B68" t="s">
        <v>189</v>
      </c>
      <c r="C68">
        <v>66</v>
      </c>
      <c r="D68">
        <v>257</v>
      </c>
      <c r="E68">
        <v>3451069</v>
      </c>
      <c r="F68">
        <v>7.4470000000000001</v>
      </c>
      <c r="G68" s="20">
        <f t="shared" si="2"/>
        <v>7.4470000000000001</v>
      </c>
      <c r="H68" s="20">
        <f t="shared" si="2"/>
        <v>7.4470000000000001</v>
      </c>
    </row>
    <row r="69" spans="2:8">
      <c r="B69" t="s">
        <v>190</v>
      </c>
      <c r="C69">
        <v>67</v>
      </c>
      <c r="D69">
        <v>205</v>
      </c>
      <c r="E69">
        <v>3361747</v>
      </c>
      <c r="F69">
        <v>6.0979999999999999</v>
      </c>
      <c r="G69" s="20">
        <f t="shared" si="2"/>
        <v>6.0979999999999999</v>
      </c>
      <c r="H69" s="20">
        <f t="shared" si="2"/>
        <v>6.0979999999999999</v>
      </c>
    </row>
    <row r="70" spans="2:8">
      <c r="B70" t="s">
        <v>191</v>
      </c>
      <c r="C70">
        <v>68</v>
      </c>
      <c r="D70">
        <v>172</v>
      </c>
      <c r="E70">
        <v>3251249</v>
      </c>
      <c r="F70">
        <v>5.29</v>
      </c>
      <c r="G70" s="20">
        <f t="shared" si="2"/>
        <v>5.29</v>
      </c>
      <c r="H70" s="20">
        <f t="shared" si="2"/>
        <v>5.29</v>
      </c>
    </row>
    <row r="71" spans="2:8">
      <c r="B71" t="s">
        <v>192</v>
      </c>
      <c r="C71">
        <v>69</v>
      </c>
      <c r="D71">
        <v>155</v>
      </c>
      <c r="E71">
        <v>3204338</v>
      </c>
      <c r="F71">
        <v>4.8369999999999997</v>
      </c>
      <c r="G71" s="20">
        <f t="shared" si="2"/>
        <v>4.8369999999999997</v>
      </c>
      <c r="H71" s="20">
        <f t="shared" si="2"/>
        <v>4.8369999999999997</v>
      </c>
    </row>
    <row r="72" spans="2:8">
      <c r="B72" t="s">
        <v>193</v>
      </c>
      <c r="C72">
        <v>70</v>
      </c>
      <c r="D72">
        <v>99</v>
      </c>
      <c r="E72">
        <v>3324662</v>
      </c>
      <c r="F72">
        <v>2.9780000000000002</v>
      </c>
      <c r="G72" s="20">
        <f t="shared" si="2"/>
        <v>2.9780000000000002</v>
      </c>
      <c r="H72" s="20">
        <f t="shared" si="2"/>
        <v>2.9780000000000002</v>
      </c>
    </row>
    <row r="73" spans="2:8">
      <c r="B73" t="s">
        <v>194</v>
      </c>
      <c r="C73">
        <v>71</v>
      </c>
      <c r="D73">
        <v>78</v>
      </c>
      <c r="E73">
        <v>2443843</v>
      </c>
      <c r="F73">
        <v>3.1920000000000002</v>
      </c>
      <c r="G73" s="20">
        <f t="shared" si="2"/>
        <v>3.1920000000000002</v>
      </c>
      <c r="H73" s="20">
        <f t="shared" si="2"/>
        <v>3.1920000000000002</v>
      </c>
    </row>
    <row r="74" spans="2:8">
      <c r="B74" t="s">
        <v>195</v>
      </c>
      <c r="C74">
        <v>72</v>
      </c>
      <c r="D74">
        <v>79</v>
      </c>
      <c r="E74">
        <v>2399286</v>
      </c>
      <c r="F74">
        <v>3.2930000000000001</v>
      </c>
      <c r="G74" s="20">
        <f t="shared" si="2"/>
        <v>3.2930000000000001</v>
      </c>
      <c r="H74" s="20">
        <f t="shared" si="2"/>
        <v>3.2930000000000001</v>
      </c>
    </row>
    <row r="75" spans="2:8">
      <c r="B75" t="s">
        <v>196</v>
      </c>
      <c r="C75">
        <v>73</v>
      </c>
      <c r="D75">
        <v>45</v>
      </c>
      <c r="E75">
        <v>2321473</v>
      </c>
      <c r="F75">
        <v>1.9379999999999999</v>
      </c>
      <c r="G75" s="20">
        <f t="shared" si="2"/>
        <v>1.9379999999999999</v>
      </c>
      <c r="H75" s="20">
        <f t="shared" si="2"/>
        <v>1.9379999999999999</v>
      </c>
    </row>
    <row r="76" spans="2:8">
      <c r="B76" t="s">
        <v>197</v>
      </c>
      <c r="C76">
        <v>74</v>
      </c>
      <c r="D76">
        <v>44</v>
      </c>
      <c r="E76">
        <v>2357801</v>
      </c>
      <c r="F76">
        <v>1.8660000000000001</v>
      </c>
      <c r="G76" s="20">
        <f t="shared" si="2"/>
        <v>1.8660000000000001</v>
      </c>
      <c r="H76" s="20">
        <f t="shared" si="2"/>
        <v>1.8660000000000001</v>
      </c>
    </row>
    <row r="77" spans="2:8">
      <c r="B77" t="s">
        <v>198</v>
      </c>
      <c r="C77">
        <v>75</v>
      </c>
      <c r="D77">
        <v>38</v>
      </c>
      <c r="E77">
        <v>2039236</v>
      </c>
      <c r="F77">
        <v>1.863</v>
      </c>
      <c r="G77" s="20">
        <f t="shared" si="2"/>
        <v>1.863</v>
      </c>
      <c r="H77" s="20">
        <f t="shared" si="2"/>
        <v>1.863</v>
      </c>
    </row>
    <row r="78" spans="2:8">
      <c r="B78" t="s">
        <v>199</v>
      </c>
      <c r="C78">
        <v>76</v>
      </c>
      <c r="D78">
        <v>34</v>
      </c>
      <c r="E78">
        <v>1847158</v>
      </c>
      <c r="F78">
        <v>1.841</v>
      </c>
      <c r="G78" s="20">
        <f t="shared" si="2"/>
        <v>1.841</v>
      </c>
      <c r="H78" s="20">
        <f t="shared" si="2"/>
        <v>1.841</v>
      </c>
    </row>
    <row r="79" spans="2:8">
      <c r="B79" t="s">
        <v>200</v>
      </c>
      <c r="C79">
        <v>77</v>
      </c>
      <c r="D79">
        <v>24</v>
      </c>
      <c r="E79">
        <v>1729114</v>
      </c>
      <c r="F79">
        <v>1.3879999999999999</v>
      </c>
      <c r="G79" s="20">
        <f t="shared" si="2"/>
        <v>1.3879999999999999</v>
      </c>
      <c r="H79" s="20">
        <f t="shared" si="2"/>
        <v>1.3879999999999999</v>
      </c>
    </row>
    <row r="80" spans="2:8">
      <c r="B80" t="s">
        <v>201</v>
      </c>
      <c r="C80">
        <v>78</v>
      </c>
      <c r="D80">
        <v>25</v>
      </c>
      <c r="E80">
        <v>1607240</v>
      </c>
      <c r="F80">
        <v>1.5549999999999999</v>
      </c>
      <c r="G80" s="20">
        <f t="shared" si="2"/>
        <v>1.5549999999999999</v>
      </c>
      <c r="H80" s="20">
        <f t="shared" si="2"/>
        <v>1.5549999999999999</v>
      </c>
    </row>
    <row r="81" spans="2:8">
      <c r="B81" t="s">
        <v>202</v>
      </c>
      <c r="C81">
        <v>79</v>
      </c>
      <c r="D81">
        <v>24</v>
      </c>
      <c r="E81">
        <v>1518513</v>
      </c>
      <c r="F81">
        <v>1.58</v>
      </c>
      <c r="G81" s="20">
        <f t="shared" si="2"/>
        <v>1.58</v>
      </c>
      <c r="H81" s="20">
        <f t="shared" si="2"/>
        <v>1.58</v>
      </c>
    </row>
    <row r="82" spans="2:8">
      <c r="B82" t="s">
        <v>203</v>
      </c>
      <c r="C82">
        <v>80</v>
      </c>
      <c r="D82">
        <v>10</v>
      </c>
      <c r="E82">
        <v>1378494</v>
      </c>
      <c r="F82" t="s">
        <v>123</v>
      </c>
      <c r="G82" s="20">
        <f t="shared" si="2"/>
        <v>0.72542934535805015</v>
      </c>
      <c r="H82" s="20">
        <f t="shared" si="2"/>
        <v>0.72542934535805015</v>
      </c>
    </row>
    <row r="83" spans="2:8">
      <c r="B83" t="s">
        <v>204</v>
      </c>
      <c r="C83">
        <v>81</v>
      </c>
      <c r="D83">
        <v>22</v>
      </c>
      <c r="E83">
        <v>1293831</v>
      </c>
      <c r="F83">
        <v>1.7</v>
      </c>
      <c r="G83" s="20">
        <f t="shared" si="2"/>
        <v>1.7</v>
      </c>
      <c r="H83" s="20">
        <f t="shared" si="2"/>
        <v>1.7</v>
      </c>
    </row>
    <row r="84" spans="2:8">
      <c r="B84" t="s">
        <v>205</v>
      </c>
      <c r="C84">
        <v>82</v>
      </c>
      <c r="D84">
        <v>14</v>
      </c>
      <c r="E84">
        <v>1216640</v>
      </c>
      <c r="F84" t="s">
        <v>123</v>
      </c>
      <c r="G84" s="20">
        <f t="shared" si="2"/>
        <v>1.1507101525512888</v>
      </c>
      <c r="H84" s="20">
        <f t="shared" si="2"/>
        <v>1.1507101525512888</v>
      </c>
    </row>
    <row r="85" spans="2:8">
      <c r="B85" t="s">
        <v>206</v>
      </c>
      <c r="C85">
        <v>83</v>
      </c>
      <c r="D85">
        <v>6</v>
      </c>
      <c r="E85">
        <v>1068110</v>
      </c>
      <c r="F85" t="s">
        <v>123</v>
      </c>
      <c r="G85" s="20">
        <f t="shared" si="2"/>
        <v>0.56173989570362604</v>
      </c>
      <c r="H85" s="20">
        <f t="shared" si="2"/>
        <v>0.56173989570362604</v>
      </c>
    </row>
    <row r="86" spans="2:8">
      <c r="B86" t="s">
        <v>207</v>
      </c>
      <c r="C86">
        <v>84</v>
      </c>
      <c r="D86">
        <v>10</v>
      </c>
      <c r="E86">
        <v>1008215</v>
      </c>
      <c r="F86" t="s">
        <v>123</v>
      </c>
      <c r="G86" s="20">
        <f t="shared" si="2"/>
        <v>0.99185193634294266</v>
      </c>
      <c r="H86" s="20">
        <f t="shared" si="2"/>
        <v>0.99185193634294266</v>
      </c>
    </row>
    <row r="87" spans="2:8">
      <c r="B87" t="s">
        <v>208</v>
      </c>
      <c r="C87">
        <v>85</v>
      </c>
      <c r="D87">
        <v>14</v>
      </c>
      <c r="E87" t="s">
        <v>209</v>
      </c>
      <c r="F87" t="s">
        <v>209</v>
      </c>
      <c r="G87" s="20" t="str">
        <f t="shared" si="2"/>
        <v>Not Applicable</v>
      </c>
      <c r="H87" s="20">
        <f>K101*100000</f>
        <v>1.159432477898898</v>
      </c>
    </row>
    <row r="88" spans="2:8">
      <c r="B88" t="s">
        <v>210</v>
      </c>
      <c r="C88">
        <v>86</v>
      </c>
      <c r="D88">
        <v>9</v>
      </c>
      <c r="E88" t="s">
        <v>209</v>
      </c>
      <c r="F88" t="s">
        <v>209</v>
      </c>
      <c r="G88" s="20" t="str">
        <f t="shared" si="2"/>
        <v>Not Applicable</v>
      </c>
    </row>
    <row r="89" spans="2:8">
      <c r="B89" t="s">
        <v>211</v>
      </c>
      <c r="C89">
        <v>87</v>
      </c>
      <c r="D89">
        <v>3</v>
      </c>
      <c r="E89" t="s">
        <v>209</v>
      </c>
      <c r="F89" t="s">
        <v>209</v>
      </c>
      <c r="G89" s="20" t="str">
        <f t="shared" si="2"/>
        <v>Not Applicable</v>
      </c>
    </row>
    <row r="90" spans="2:8">
      <c r="B90" t="s">
        <v>212</v>
      </c>
      <c r="C90">
        <v>88</v>
      </c>
      <c r="D90">
        <v>8</v>
      </c>
      <c r="E90" t="s">
        <v>209</v>
      </c>
      <c r="F90" t="s">
        <v>209</v>
      </c>
      <c r="G90" s="20" t="str">
        <f t="shared" si="2"/>
        <v>Not Applicable</v>
      </c>
    </row>
    <row r="91" spans="2:8">
      <c r="B91" t="s">
        <v>213</v>
      </c>
      <c r="C91">
        <v>89</v>
      </c>
      <c r="D91">
        <v>6</v>
      </c>
      <c r="E91" t="s">
        <v>209</v>
      </c>
      <c r="F91" t="s">
        <v>209</v>
      </c>
      <c r="G91" s="20" t="str">
        <f t="shared" si="2"/>
        <v>Not Applicable</v>
      </c>
    </row>
    <row r="92" spans="2:8">
      <c r="B92" t="s">
        <v>214</v>
      </c>
      <c r="C92">
        <v>90</v>
      </c>
      <c r="D92">
        <v>6</v>
      </c>
      <c r="E92" t="s">
        <v>209</v>
      </c>
      <c r="F92" t="s">
        <v>209</v>
      </c>
      <c r="G92" s="20" t="str">
        <f t="shared" si="2"/>
        <v>Not Applicable</v>
      </c>
    </row>
    <row r="93" spans="2:8">
      <c r="B93" t="s">
        <v>215</v>
      </c>
      <c r="C93">
        <v>91</v>
      </c>
      <c r="D93">
        <v>9</v>
      </c>
      <c r="E93" t="s">
        <v>209</v>
      </c>
      <c r="F93" t="s">
        <v>209</v>
      </c>
      <c r="G93" s="20" t="str">
        <f t="shared" si="2"/>
        <v>Not Applicable</v>
      </c>
    </row>
    <row r="94" spans="2:8">
      <c r="B94" t="s">
        <v>216</v>
      </c>
      <c r="C94">
        <v>92</v>
      </c>
      <c r="D94">
        <v>6</v>
      </c>
      <c r="E94" t="s">
        <v>209</v>
      </c>
      <c r="F94" t="s">
        <v>209</v>
      </c>
      <c r="G94" s="20" t="str">
        <f t="shared" si="2"/>
        <v>Not Applicable</v>
      </c>
    </row>
    <row r="95" spans="2:8">
      <c r="B95" t="s">
        <v>217</v>
      </c>
      <c r="C95">
        <v>93</v>
      </c>
      <c r="D95">
        <v>4</v>
      </c>
      <c r="E95" t="s">
        <v>209</v>
      </c>
      <c r="F95" t="s">
        <v>209</v>
      </c>
      <c r="G95" s="20" t="str">
        <f t="shared" si="2"/>
        <v>Not Applicable</v>
      </c>
    </row>
    <row r="96" spans="2:8">
      <c r="B96" t="s">
        <v>218</v>
      </c>
      <c r="C96">
        <v>94</v>
      </c>
      <c r="D96">
        <v>1</v>
      </c>
      <c r="E96" t="s">
        <v>209</v>
      </c>
      <c r="F96" t="s">
        <v>209</v>
      </c>
      <c r="G96" s="20" t="str">
        <f t="shared" si="2"/>
        <v>Not Applicable</v>
      </c>
    </row>
    <row r="97" spans="1:11">
      <c r="B97" t="s">
        <v>219</v>
      </c>
      <c r="C97">
        <v>95</v>
      </c>
      <c r="D97">
        <v>1</v>
      </c>
      <c r="E97" t="s">
        <v>209</v>
      </c>
      <c r="F97" t="s">
        <v>209</v>
      </c>
      <c r="G97" s="20" t="str">
        <f t="shared" si="2"/>
        <v>Not Applicable</v>
      </c>
    </row>
    <row r="98" spans="1:11">
      <c r="B98" t="s">
        <v>220</v>
      </c>
      <c r="C98">
        <v>96</v>
      </c>
      <c r="D98">
        <v>2</v>
      </c>
      <c r="E98" t="s">
        <v>209</v>
      </c>
      <c r="F98" t="s">
        <v>209</v>
      </c>
      <c r="G98" s="20" t="str">
        <f t="shared" si="2"/>
        <v>Not Applicable</v>
      </c>
    </row>
    <row r="99" spans="1:11">
      <c r="B99" t="s">
        <v>221</v>
      </c>
      <c r="C99">
        <v>97</v>
      </c>
      <c r="D99">
        <v>2</v>
      </c>
      <c r="E99" t="s">
        <v>209</v>
      </c>
      <c r="F99" t="s">
        <v>209</v>
      </c>
      <c r="G99" s="20" t="str">
        <f t="shared" si="2"/>
        <v>Not Applicable</v>
      </c>
    </row>
    <row r="100" spans="1:11">
      <c r="B100" t="s">
        <v>222</v>
      </c>
      <c r="C100">
        <v>98</v>
      </c>
      <c r="D100">
        <v>3</v>
      </c>
      <c r="E100" t="s">
        <v>209</v>
      </c>
      <c r="F100" t="s">
        <v>209</v>
      </c>
      <c r="G100" s="20" t="str">
        <f t="shared" si="2"/>
        <v>Not Applicable</v>
      </c>
      <c r="I100" t="s">
        <v>290</v>
      </c>
      <c r="J100" t="s">
        <v>288</v>
      </c>
      <c r="K100" t="s">
        <v>289</v>
      </c>
    </row>
    <row r="101" spans="1:11">
      <c r="B101" t="s">
        <v>223</v>
      </c>
      <c r="C101">
        <v>99</v>
      </c>
      <c r="D101">
        <v>1</v>
      </c>
      <c r="E101" t="s">
        <v>209</v>
      </c>
      <c r="F101" t="s">
        <v>209</v>
      </c>
      <c r="G101" s="20" t="str">
        <f t="shared" si="2"/>
        <v>Not Applicable</v>
      </c>
      <c r="I101">
        <f>E104-SUM(E2:E86)</f>
        <v>6468682</v>
      </c>
      <c r="J101">
        <f>SUM(D87:D102)</f>
        <v>75</v>
      </c>
      <c r="K101">
        <f>J101/I101</f>
        <v>1.159432477898898E-5</v>
      </c>
    </row>
    <row r="102" spans="1:11">
      <c r="B102" t="s">
        <v>224</v>
      </c>
      <c r="C102">
        <v>100</v>
      </c>
      <c r="D102">
        <v>0</v>
      </c>
      <c r="E102" t="s">
        <v>209</v>
      </c>
      <c r="F102" t="s">
        <v>209</v>
      </c>
      <c r="G102" s="20" t="str">
        <f t="shared" si="2"/>
        <v>Not Applicable</v>
      </c>
    </row>
    <row r="103" spans="1:11">
      <c r="B103" t="s">
        <v>225</v>
      </c>
      <c r="C103" t="s">
        <v>226</v>
      </c>
      <c r="D103">
        <v>13</v>
      </c>
      <c r="E103" t="s">
        <v>209</v>
      </c>
      <c r="F103" t="s">
        <v>209</v>
      </c>
      <c r="G103" s="20" t="str">
        <f t="shared" si="2"/>
        <v>Not Applicable</v>
      </c>
    </row>
    <row r="104" spans="1:11">
      <c r="A104" t="s">
        <v>227</v>
      </c>
      <c r="D104">
        <v>47600</v>
      </c>
      <c r="E104">
        <v>325719178</v>
      </c>
      <c r="F104">
        <v>14.614000000000001</v>
      </c>
      <c r="G104" s="20">
        <f>F104</f>
        <v>14.614000000000001</v>
      </c>
    </row>
    <row r="105" spans="1:11">
      <c r="A105" t="s">
        <v>228</v>
      </c>
      <c r="D105" s="21"/>
    </row>
    <row r="106" spans="1:11">
      <c r="A106" t="s">
        <v>229</v>
      </c>
    </row>
    <row r="107" spans="1:11">
      <c r="A107" t="s">
        <v>230</v>
      </c>
    </row>
    <row r="108" spans="1:11">
      <c r="A108" t="s">
        <v>231</v>
      </c>
    </row>
    <row r="109" spans="1:11">
      <c r="A109" t="s">
        <v>232</v>
      </c>
    </row>
    <row r="110" spans="1:11">
      <c r="A110" t="s">
        <v>233</v>
      </c>
    </row>
    <row r="111" spans="1:11">
      <c r="A111" t="s">
        <v>234</v>
      </c>
    </row>
    <row r="112" spans="1:11">
      <c r="A112" t="s">
        <v>235</v>
      </c>
    </row>
    <row r="113" spans="1:1">
      <c r="A113" t="s">
        <v>236</v>
      </c>
    </row>
    <row r="114" spans="1:1">
      <c r="A114" t="s">
        <v>237</v>
      </c>
    </row>
    <row r="115" spans="1:1">
      <c r="A115" t="s">
        <v>238</v>
      </c>
    </row>
    <row r="116" spans="1:1">
      <c r="A116" t="s">
        <v>239</v>
      </c>
    </row>
    <row r="117" spans="1:1">
      <c r="A117" t="s">
        <v>240</v>
      </c>
    </row>
    <row r="118" spans="1:1">
      <c r="A118" t="s">
        <v>241</v>
      </c>
    </row>
    <row r="119" spans="1:1">
      <c r="A119" t="s">
        <v>242</v>
      </c>
    </row>
    <row r="120" spans="1:1">
      <c r="A120" t="s">
        <v>228</v>
      </c>
    </row>
    <row r="121" spans="1:1">
      <c r="A121" t="s">
        <v>243</v>
      </c>
    </row>
    <row r="122" spans="1:1">
      <c r="A122" t="s">
        <v>228</v>
      </c>
    </row>
    <row r="123" spans="1:1">
      <c r="A123" t="s">
        <v>244</v>
      </c>
    </row>
    <row r="124" spans="1:1">
      <c r="A124" t="s">
        <v>228</v>
      </c>
    </row>
    <row r="125" spans="1:1">
      <c r="A125" t="s">
        <v>245</v>
      </c>
    </row>
    <row r="126" spans="1:1">
      <c r="A126" t="s">
        <v>246</v>
      </c>
    </row>
    <row r="127" spans="1:1">
      <c r="A127" t="s">
        <v>247</v>
      </c>
    </row>
    <row r="128" spans="1:1">
      <c r="A128" t="s">
        <v>248</v>
      </c>
    </row>
    <row r="129" spans="1:1">
      <c r="A129" t="s">
        <v>228</v>
      </c>
    </row>
    <row r="130" spans="1:1">
      <c r="A130" t="s">
        <v>249</v>
      </c>
    </row>
    <row r="131" spans="1:1">
      <c r="A131" t="s">
        <v>250</v>
      </c>
    </row>
    <row r="132" spans="1:1">
      <c r="A132" t="s">
        <v>251</v>
      </c>
    </row>
    <row r="133" spans="1:1">
      <c r="A133" t="s">
        <v>252</v>
      </c>
    </row>
    <row r="134" spans="1:1">
      <c r="A134" t="s">
        <v>253</v>
      </c>
    </row>
    <row r="135" spans="1:1">
      <c r="A135" t="s">
        <v>254</v>
      </c>
    </row>
    <row r="136" spans="1:1">
      <c r="A136" t="s">
        <v>255</v>
      </c>
    </row>
    <row r="137" spans="1:1">
      <c r="A137" t="s">
        <v>256</v>
      </c>
    </row>
    <row r="138" spans="1:1">
      <c r="A138" t="s">
        <v>257</v>
      </c>
    </row>
    <row r="139" spans="1:1">
      <c r="A139" t="s">
        <v>258</v>
      </c>
    </row>
    <row r="140" spans="1:1">
      <c r="A140" t="s">
        <v>259</v>
      </c>
    </row>
    <row r="141" spans="1:1">
      <c r="A141" t="s">
        <v>260</v>
      </c>
    </row>
    <row r="142" spans="1:1">
      <c r="A142" t="s">
        <v>261</v>
      </c>
    </row>
    <row r="143" spans="1:1">
      <c r="A143" t="s">
        <v>262</v>
      </c>
    </row>
    <row r="144" spans="1:1">
      <c r="A144" t="s">
        <v>263</v>
      </c>
    </row>
    <row r="145" spans="1:1">
      <c r="A145" t="s">
        <v>264</v>
      </c>
    </row>
    <row r="146" spans="1:1">
      <c r="A146" t="s">
        <v>265</v>
      </c>
    </row>
    <row r="147" spans="1:1">
      <c r="A147" t="s">
        <v>266</v>
      </c>
    </row>
    <row r="148" spans="1:1">
      <c r="A148" t="s">
        <v>267</v>
      </c>
    </row>
    <row r="149" spans="1:1">
      <c r="A149" t="s">
        <v>268</v>
      </c>
    </row>
    <row r="150" spans="1:1">
      <c r="A150" t="s">
        <v>269</v>
      </c>
    </row>
    <row r="151" spans="1:1">
      <c r="A151" t="s">
        <v>270</v>
      </c>
    </row>
    <row r="152" spans="1:1">
      <c r="A152" t="s">
        <v>271</v>
      </c>
    </row>
    <row r="153" spans="1:1">
      <c r="A153" t="s">
        <v>272</v>
      </c>
    </row>
    <row r="154" spans="1:1">
      <c r="A154" t="s">
        <v>273</v>
      </c>
    </row>
    <row r="155" spans="1:1">
      <c r="A155" t="s">
        <v>274</v>
      </c>
    </row>
    <row r="156" spans="1:1">
      <c r="A156" t="s">
        <v>275</v>
      </c>
    </row>
    <row r="157" spans="1:1">
      <c r="A157" t="s">
        <v>276</v>
      </c>
    </row>
    <row r="158" spans="1:1">
      <c r="A158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04"/>
  <sheetViews>
    <sheetView zoomScale="125" workbookViewId="0">
      <pane xSplit="1" ySplit="3" topLeftCell="B67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baseColWidth="10" defaultColWidth="11.5" defaultRowHeight="15"/>
  <cols>
    <col min="3" max="3" width="12" customWidth="1"/>
    <col min="4" max="5" width="10.83203125" customWidth="1"/>
  </cols>
  <sheetData>
    <row r="1" spans="1:12">
      <c r="A1" s="60" t="s">
        <v>3</v>
      </c>
      <c r="B1" s="60"/>
      <c r="C1" s="60"/>
      <c r="D1" s="60"/>
      <c r="E1" s="60"/>
      <c r="F1" s="60"/>
      <c r="G1" s="60"/>
      <c r="H1" s="60"/>
      <c r="I1" s="60"/>
      <c r="J1" s="60"/>
    </row>
    <row r="2" spans="1:12" ht="90">
      <c r="A2" s="61" t="s">
        <v>1</v>
      </c>
      <c r="B2" s="3" t="s">
        <v>104</v>
      </c>
      <c r="C2" s="3" t="s">
        <v>281</v>
      </c>
      <c r="D2" s="3" t="s">
        <v>282</v>
      </c>
      <c r="E2" s="3" t="s">
        <v>283</v>
      </c>
      <c r="F2" s="4" t="s">
        <v>285</v>
      </c>
      <c r="G2" s="4" t="s">
        <v>286</v>
      </c>
      <c r="H2" s="4" t="s">
        <v>107</v>
      </c>
      <c r="I2" s="4" t="s">
        <v>108</v>
      </c>
      <c r="J2" s="5" t="s">
        <v>109</v>
      </c>
    </row>
    <row r="3" spans="1:12" ht="17">
      <c r="A3" s="62"/>
      <c r="B3" s="6" t="s">
        <v>278</v>
      </c>
      <c r="C3" s="6" t="s">
        <v>279</v>
      </c>
      <c r="D3" s="6" t="s">
        <v>280</v>
      </c>
      <c r="E3" s="6" t="s">
        <v>284</v>
      </c>
      <c r="F3" s="7" t="s">
        <v>111</v>
      </c>
      <c r="G3" s="7" t="s">
        <v>112</v>
      </c>
      <c r="H3" s="7" t="s">
        <v>113</v>
      </c>
      <c r="I3" s="7" t="s">
        <v>114</v>
      </c>
      <c r="J3" s="8" t="s">
        <v>115</v>
      </c>
    </row>
    <row r="4" spans="1:12">
      <c r="A4" s="9" t="s">
        <v>4</v>
      </c>
      <c r="B4" s="10">
        <v>5.7769683189690113E-3</v>
      </c>
      <c r="C4" s="10">
        <f>IF('Opioid Mortality - WONDER'!G2="Not Applicable","NA",'Opioid Mortality - WONDER'!$G2/100000)</f>
        <v>4.8231980595512648E-6</v>
      </c>
      <c r="D4" s="22">
        <f>IF(C4="NA","NA",B4-C4)</f>
        <v>5.7721451209094598E-3</v>
      </c>
      <c r="E4" s="22">
        <f>IF(D4="NA","NA",1-(1-B4)^(D4/B4))</f>
        <v>5.7721590679145063E-3</v>
      </c>
      <c r="F4" s="11">
        <v>100000</v>
      </c>
      <c r="G4" s="11">
        <f>F4*E4</f>
        <v>577.21590679145061</v>
      </c>
      <c r="H4" s="11">
        <v>99493.359375</v>
      </c>
      <c r="I4" s="11">
        <v>7860752</v>
      </c>
      <c r="J4" s="12">
        <v>78.607521057128906</v>
      </c>
      <c r="L4" s="24"/>
    </row>
    <row r="5" spans="1:12">
      <c r="A5" s="13" t="s">
        <v>5</v>
      </c>
      <c r="B5" s="10">
        <v>3.818386176135391E-4</v>
      </c>
      <c r="C5" s="10">
        <f>IF('Opioid Mortality - WONDER'!G3="Not Applicable","NA",'Opioid Mortality - WONDER'!$G3/100000)</f>
        <v>4.0249020691015313E-6</v>
      </c>
      <c r="D5" s="22">
        <f t="shared" ref="D5:D68" si="0">IF(C5="NA","NA",B5-C5)</f>
        <v>3.7781371554443757E-4</v>
      </c>
      <c r="E5" s="22">
        <f t="shared" ref="E5:E68" si="1">IF(D5="NA","NA",1-(1-B5)^(D5/B5))</f>
        <v>3.7781447597384776E-4</v>
      </c>
      <c r="F5" s="11">
        <f>IF(E4="NA","NA",F4*(1-E4))</f>
        <v>99422.784093208553</v>
      </c>
      <c r="G5" s="11">
        <f t="shared" ref="G5:G68" si="2">F5*E5</f>
        <v>37.563367072036598</v>
      </c>
      <c r="H5" s="11">
        <v>99403.328125</v>
      </c>
      <c r="I5" s="11">
        <v>7761258.5</v>
      </c>
      <c r="J5" s="14">
        <v>78.063552856445312</v>
      </c>
    </row>
    <row r="6" spans="1:12">
      <c r="A6" s="13" t="s">
        <v>6</v>
      </c>
      <c r="B6" s="10">
        <v>2.4839455727487803E-4</v>
      </c>
      <c r="C6" s="10">
        <f>IF('Opioid Mortality - WONDER'!G4="Not Applicable","NA",'Opioid Mortality - WONDER'!$G4/100000)</f>
        <v>9.9458572396516457E-7</v>
      </c>
      <c r="D6" s="22">
        <f t="shared" si="0"/>
        <v>2.4739997155091283E-4</v>
      </c>
      <c r="E6" s="22">
        <f t="shared" si="1"/>
        <v>2.4740009459134349E-4</v>
      </c>
      <c r="F6" s="11">
        <f t="shared" ref="F6:F69" si="3">IF(E5="NA","NA",F5*(1-E5))</f>
        <v>99385.220726136511</v>
      </c>
      <c r="G6" s="11">
        <f t="shared" si="2"/>
        <v>24.587913008627723</v>
      </c>
      <c r="H6" s="11">
        <v>99372</v>
      </c>
      <c r="I6" s="11">
        <v>7661855</v>
      </c>
      <c r="J6" s="14">
        <v>77.093177795410156</v>
      </c>
    </row>
    <row r="7" spans="1:12">
      <c r="A7" s="13" t="s">
        <v>7</v>
      </c>
      <c r="B7" s="10">
        <v>1.928160636452958E-4</v>
      </c>
      <c r="C7" s="10">
        <f>IF('Opioid Mortality - WONDER'!G5="Not Applicable","NA",'Opioid Mortality - WONDER'!$G5/100000)</f>
        <v>9.983140970685754E-7</v>
      </c>
      <c r="D7" s="22">
        <f t="shared" si="0"/>
        <v>1.9181774954822722E-4</v>
      </c>
      <c r="E7" s="22">
        <f t="shared" si="1"/>
        <v>1.9181784530164503E-4</v>
      </c>
      <c r="F7" s="11">
        <f t="shared" si="3"/>
        <v>99360.632813127886</v>
      </c>
      <c r="G7" s="11">
        <f t="shared" si="2"/>
        <v>19.059142494022119</v>
      </c>
      <c r="H7" s="11">
        <v>99350.078125</v>
      </c>
      <c r="I7" s="11">
        <v>7562483</v>
      </c>
      <c r="J7" s="14">
        <v>76.112213134765625</v>
      </c>
    </row>
    <row r="8" spans="1:12">
      <c r="A8" s="13" t="s">
        <v>8</v>
      </c>
      <c r="B8" s="10">
        <v>1.4872249448671937E-4</v>
      </c>
      <c r="C8" s="10">
        <f>IF('Opioid Mortality - WONDER'!G6="Not Applicable","NA",'Opioid Mortality - WONDER'!$G6/100000)</f>
        <v>5.0052768130801893E-7</v>
      </c>
      <c r="D8" s="22">
        <f t="shared" si="0"/>
        <v>1.4822196680541134E-4</v>
      </c>
      <c r="E8" s="22">
        <f t="shared" si="1"/>
        <v>1.4822200390185447E-4</v>
      </c>
      <c r="F8" s="11">
        <f t="shared" si="3"/>
        <v>99341.573670633865</v>
      </c>
      <c r="G8" s="11">
        <f t="shared" si="2"/>
        <v>14.724607120225055</v>
      </c>
      <c r="H8" s="11">
        <v>99333.109375</v>
      </c>
      <c r="I8" s="11">
        <v>7463133</v>
      </c>
      <c r="J8" s="14">
        <v>75.126792907714844</v>
      </c>
    </row>
    <row r="9" spans="1:12">
      <c r="A9" s="13" t="s">
        <v>9</v>
      </c>
      <c r="B9" s="10">
        <v>1.4088257739786059E-4</v>
      </c>
      <c r="C9" s="10">
        <f>IF('Opioid Mortality - WONDER'!G7="Not Applicable","NA",'Opioid Mortality - WONDER'!$G7/100000)</f>
        <v>0</v>
      </c>
      <c r="D9" s="22">
        <f t="shared" si="0"/>
        <v>1.4088257739786059E-4</v>
      </c>
      <c r="E9" s="22">
        <f t="shared" si="1"/>
        <v>1.4088257739786059E-4</v>
      </c>
      <c r="F9" s="11">
        <f t="shared" si="3"/>
        <v>99326.84906351364</v>
      </c>
      <c r="G9" s="11">
        <f t="shared" si="2"/>
        <v>13.993422500876077</v>
      </c>
      <c r="H9" s="11">
        <v>99318.734375</v>
      </c>
      <c r="I9" s="11">
        <v>7363800</v>
      </c>
      <c r="J9" s="14">
        <v>74.137893676757812</v>
      </c>
    </row>
    <row r="10" spans="1:12">
      <c r="A10" s="13" t="s">
        <v>10</v>
      </c>
      <c r="B10" s="10">
        <v>1.2598109606187791E-4</v>
      </c>
      <c r="C10" s="10">
        <f>IF('Opioid Mortality - WONDER'!G8="Not Applicable","NA",'Opioid Mortality - WONDER'!$G8/100000)</f>
        <v>4.9437255718160181E-7</v>
      </c>
      <c r="D10" s="22">
        <f t="shared" si="0"/>
        <v>1.254867235046963E-4</v>
      </c>
      <c r="E10" s="22">
        <f t="shared" si="1"/>
        <v>1.2548675452461744E-4</v>
      </c>
      <c r="F10" s="11">
        <f t="shared" si="3"/>
        <v>99312.855641012764</v>
      </c>
      <c r="G10" s="11">
        <f t="shared" si="2"/>
        <v>12.462447936962537</v>
      </c>
      <c r="H10" s="11">
        <v>99305.484375</v>
      </c>
      <c r="I10" s="11">
        <v>7264481</v>
      </c>
      <c r="J10" s="14">
        <v>73.148262023925781</v>
      </c>
    </row>
    <row r="11" spans="1:12">
      <c r="A11" s="13" t="s">
        <v>11</v>
      </c>
      <c r="B11" s="10">
        <v>1.1421359522501007E-4</v>
      </c>
      <c r="C11" s="10">
        <f>IF('Opioid Mortality - WONDER'!G9="Not Applicable","NA",'Opioid Mortality - WONDER'!$G9/100000)</f>
        <v>0</v>
      </c>
      <c r="D11" s="22">
        <f t="shared" si="0"/>
        <v>1.1421359522501007E-4</v>
      </c>
      <c r="E11" s="22">
        <f t="shared" si="1"/>
        <v>1.1421359522501007E-4</v>
      </c>
      <c r="F11" s="11">
        <f t="shared" si="3"/>
        <v>99300.393193075797</v>
      </c>
      <c r="G11" s="11">
        <f t="shared" si="2"/>
        <v>11.341454913838303</v>
      </c>
      <c r="H11" s="11">
        <v>99293.5546875</v>
      </c>
      <c r="I11" s="11">
        <v>7165175.5</v>
      </c>
      <c r="J11" s="14">
        <v>72.157417297363281</v>
      </c>
    </row>
    <row r="12" spans="1:12">
      <c r="A12" s="13" t="s">
        <v>12</v>
      </c>
      <c r="B12" s="10">
        <v>1.0369524534326047E-4</v>
      </c>
      <c r="C12" s="10">
        <f>IF('Opioid Mortality - WONDER'!G10="Not Applicable","NA",'Opioid Mortality - WONDER'!$G10/100000)</f>
        <v>2.4735099452414368E-7</v>
      </c>
      <c r="D12" s="22">
        <f t="shared" si="0"/>
        <v>1.0344789434873632E-4</v>
      </c>
      <c r="E12" s="22">
        <f t="shared" si="1"/>
        <v>1.0344790714311713E-4</v>
      </c>
      <c r="F12" s="11">
        <f t="shared" si="3"/>
        <v>99289.051738161957</v>
      </c>
      <c r="G12" s="11">
        <f t="shared" si="2"/>
        <v>10.271244604537531</v>
      </c>
      <c r="H12" s="11">
        <v>99282.734375</v>
      </c>
      <c r="I12" s="11">
        <v>7065882</v>
      </c>
      <c r="J12" s="14">
        <v>71.165603637695312</v>
      </c>
    </row>
    <row r="13" spans="1:12">
      <c r="A13" s="13" t="s">
        <v>13</v>
      </c>
      <c r="B13" s="10">
        <v>9.5351926574949175E-5</v>
      </c>
      <c r="C13" s="10">
        <f>IF('Opioid Mortality - WONDER'!G11="Not Applicable","NA",'Opioid Mortality - WONDER'!$G11/100000)</f>
        <v>0</v>
      </c>
      <c r="D13" s="22">
        <f t="shared" si="0"/>
        <v>9.5351926574949175E-5</v>
      </c>
      <c r="E13" s="22">
        <f t="shared" si="1"/>
        <v>9.5351926574949175E-5</v>
      </c>
      <c r="F13" s="11">
        <f t="shared" si="3"/>
        <v>99278.780493557424</v>
      </c>
      <c r="G13" s="11">
        <f t="shared" si="2"/>
        <v>9.4664229880721837</v>
      </c>
      <c r="H13" s="11">
        <v>99272.8515625</v>
      </c>
      <c r="I13" s="11">
        <v>6966599.5</v>
      </c>
      <c r="J13" s="14">
        <v>70.172935485839844</v>
      </c>
    </row>
    <row r="14" spans="1:12">
      <c r="A14" s="13" t="s">
        <v>14</v>
      </c>
      <c r="B14" s="10">
        <v>9.3017973995301872E-5</v>
      </c>
      <c r="C14" s="10">
        <f>IF('Opioid Mortality - WONDER'!G12="Not Applicable","NA",'Opioid Mortality - WONDER'!$G12/100000)</f>
        <v>4.7710845557845936E-7</v>
      </c>
      <c r="D14" s="22">
        <f t="shared" si="0"/>
        <v>9.2540865539723408E-5</v>
      </c>
      <c r="E14" s="22">
        <f t="shared" si="1"/>
        <v>9.2540887616454626E-5</v>
      </c>
      <c r="F14" s="11">
        <f t="shared" si="3"/>
        <v>99269.314070569351</v>
      </c>
      <c r="G14" s="11">
        <f t="shared" si="2"/>
        <v>9.1864704371670953</v>
      </c>
      <c r="H14" s="11">
        <v>99263.5</v>
      </c>
      <c r="I14" s="11">
        <v>6867326.5</v>
      </c>
      <c r="J14" s="14">
        <v>69.179580688476562</v>
      </c>
    </row>
    <row r="15" spans="1:12">
      <c r="A15" s="13" t="s">
        <v>15</v>
      </c>
      <c r="B15" s="10">
        <v>1.0298151755705476E-4</v>
      </c>
      <c r="C15" s="10">
        <f>IF('Opioid Mortality - WONDER'!G13="Not Applicable","NA",'Opioid Mortality - WONDER'!$G13/100000)</f>
        <v>4.81004876908447E-7</v>
      </c>
      <c r="D15" s="22">
        <f t="shared" si="0"/>
        <v>1.0250051268014631E-4</v>
      </c>
      <c r="E15" s="22">
        <f t="shared" si="1"/>
        <v>1.0250053733262821E-4</v>
      </c>
      <c r="F15" s="11">
        <f t="shared" si="3"/>
        <v>99260.127600132182</v>
      </c>
      <c r="G15" s="11">
        <f t="shared" si="2"/>
        <v>10.174216414718789</v>
      </c>
      <c r="H15" s="11">
        <v>99253.7734375</v>
      </c>
      <c r="I15" s="11">
        <v>6768063</v>
      </c>
      <c r="J15" s="14">
        <v>68.185966491699219</v>
      </c>
    </row>
    <row r="16" spans="1:12">
      <c r="A16" s="13" t="s">
        <v>16</v>
      </c>
      <c r="B16" s="10">
        <v>1.3252763892523944E-4</v>
      </c>
      <c r="C16" s="10">
        <f>IF('Opioid Mortality - WONDER'!G14="Not Applicable","NA",'Opioid Mortality - WONDER'!$G14/100000)</f>
        <v>1.2059953405164023E-6</v>
      </c>
      <c r="D16" s="22">
        <f t="shared" si="0"/>
        <v>1.3132164358472303E-4</v>
      </c>
      <c r="E16" s="22">
        <f t="shared" si="1"/>
        <v>1.3132172277485754E-4</v>
      </c>
      <c r="F16" s="11">
        <f t="shared" si="3"/>
        <v>99249.953383717468</v>
      </c>
      <c r="G16" s="11">
        <f t="shared" si="2"/>
        <v>13.033674863674079</v>
      </c>
      <c r="H16" s="11">
        <v>99242.0859375</v>
      </c>
      <c r="I16" s="11">
        <v>6668809</v>
      </c>
      <c r="J16" s="14">
        <v>67.19293212890625</v>
      </c>
    </row>
    <row r="17" spans="1:10">
      <c r="A17" s="13" t="s">
        <v>17</v>
      </c>
      <c r="B17" s="10">
        <v>1.858931063907221E-4</v>
      </c>
      <c r="C17" s="10">
        <f>IF('Opioid Mortality - WONDER'!G15="Not Applicable","NA",'Opioid Mortality - WONDER'!$G15/100000)</f>
        <v>1.6845894956218722E-6</v>
      </c>
      <c r="D17" s="22">
        <f t="shared" si="0"/>
        <v>1.8420851689510023E-4</v>
      </c>
      <c r="E17" s="22">
        <f t="shared" si="1"/>
        <v>1.8420867206270231E-4</v>
      </c>
      <c r="F17" s="11">
        <f t="shared" si="3"/>
        <v>99236.919708853791</v>
      </c>
      <c r="G17" s="11">
        <f t="shared" si="2"/>
        <v>18.280301199160967</v>
      </c>
      <c r="H17" s="11">
        <v>99226.28125</v>
      </c>
      <c r="I17" s="11">
        <v>6569567</v>
      </c>
      <c r="J17" s="14">
        <v>66.201774597167969</v>
      </c>
    </row>
    <row r="18" spans="1:10">
      <c r="A18" s="13" t="s">
        <v>18</v>
      </c>
      <c r="B18" s="10">
        <v>2.5830889353528619E-4</v>
      </c>
      <c r="C18" s="10">
        <f>IF('Opioid Mortality - WONDER'!G16="Not Applicable","NA",'Opioid Mortality - WONDER'!$G16/100000)</f>
        <v>3.6343328152389999E-6</v>
      </c>
      <c r="D18" s="22">
        <f t="shared" si="0"/>
        <v>2.546745607200472E-4</v>
      </c>
      <c r="E18" s="22">
        <f t="shared" si="1"/>
        <v>2.5467502354648008E-4</v>
      </c>
      <c r="F18" s="11">
        <f t="shared" si="3"/>
        <v>99218.639407654628</v>
      </c>
      <c r="G18" s="11">
        <f t="shared" si="2"/>
        <v>25.26850932739416</v>
      </c>
      <c r="H18" s="11">
        <v>99204.25</v>
      </c>
      <c r="I18" s="11">
        <v>6470341</v>
      </c>
      <c r="J18" s="14">
        <v>65.213996887207031</v>
      </c>
    </row>
    <row r="19" spans="1:10">
      <c r="A19" s="13" t="s">
        <v>19</v>
      </c>
      <c r="B19" s="10">
        <v>3.3830752363428473E-4</v>
      </c>
      <c r="C19" s="10">
        <f>IF('Opioid Mortality - WONDER'!G17="Not Applicable","NA",'Opioid Mortality - WONDER'!$G17/100000)</f>
        <v>3.4025509410483745E-6</v>
      </c>
      <c r="D19" s="22">
        <f t="shared" si="0"/>
        <v>3.3490497269323636E-4</v>
      </c>
      <c r="E19" s="22">
        <f t="shared" si="1"/>
        <v>3.3490554252380011E-4</v>
      </c>
      <c r="F19" s="11">
        <f t="shared" si="3"/>
        <v>99193.370898327237</v>
      </c>
      <c r="G19" s="11">
        <f t="shared" si="2"/>
        <v>33.22040969546881</v>
      </c>
      <c r="H19" s="11">
        <v>99174.65625</v>
      </c>
      <c r="I19" s="11">
        <v>6371136.5</v>
      </c>
      <c r="J19" s="14">
        <v>64.230712890625</v>
      </c>
    </row>
    <row r="20" spans="1:10">
      <c r="A20" s="13" t="s">
        <v>20</v>
      </c>
      <c r="B20" s="10">
        <v>4.2072634096257389E-4</v>
      </c>
      <c r="C20" s="10">
        <f>IF('Opioid Mortality - WONDER'!G18="Not Applicable","NA",'Opioid Mortality - WONDER'!$G18/100000)</f>
        <v>4.499500437043582E-6</v>
      </c>
      <c r="D20" s="22">
        <f t="shared" si="0"/>
        <v>4.1622684052553032E-4</v>
      </c>
      <c r="E20" s="22">
        <f t="shared" si="1"/>
        <v>4.1622777706473713E-4</v>
      </c>
      <c r="F20" s="11">
        <f t="shared" si="3"/>
        <v>99160.150488631771</v>
      </c>
      <c r="G20" s="11">
        <f t="shared" si="2"/>
        <v>41.27320901128801</v>
      </c>
      <c r="H20" s="11">
        <v>99137.0234375</v>
      </c>
      <c r="I20" s="11">
        <v>6271962</v>
      </c>
      <c r="J20" s="14">
        <v>63.252277374267578</v>
      </c>
    </row>
    <row r="21" spans="1:10">
      <c r="A21" s="13" t="s">
        <v>21</v>
      </c>
      <c r="B21" s="10">
        <v>5.0969421863555908E-4</v>
      </c>
      <c r="C21" s="10">
        <f>IF('Opioid Mortality - WONDER'!G19="Not Applicable","NA",'Opioid Mortality - WONDER'!$G19/100000)</f>
        <v>1.49E-5</v>
      </c>
      <c r="D21" s="22">
        <f t="shared" si="0"/>
        <v>4.947942186355591E-4</v>
      </c>
      <c r="E21" s="22">
        <f t="shared" si="1"/>
        <v>4.9479790549722402E-4</v>
      </c>
      <c r="F21" s="11">
        <f t="shared" si="3"/>
        <v>99118.877279620487</v>
      </c>
      <c r="G21" s="11">
        <f t="shared" si="2"/>
        <v>49.0438128731926</v>
      </c>
      <c r="H21" s="11">
        <v>99090.90625</v>
      </c>
      <c r="I21" s="11">
        <v>6172825</v>
      </c>
      <c r="J21" s="14">
        <v>62.278690338134766</v>
      </c>
    </row>
    <row r="22" spans="1:10">
      <c r="A22" s="13" t="s">
        <v>22</v>
      </c>
      <c r="B22" s="10">
        <v>6.031306111253798E-4</v>
      </c>
      <c r="C22" s="10">
        <f>IF('Opioid Mortality - WONDER'!G20="Not Applicable","NA",'Opioid Mortality - WONDER'!$G20/100000)</f>
        <v>3.277E-5</v>
      </c>
      <c r="D22" s="22">
        <f t="shared" si="0"/>
        <v>5.703606111253798E-4</v>
      </c>
      <c r="E22" s="22">
        <f t="shared" si="1"/>
        <v>5.7036995846548866E-4</v>
      </c>
      <c r="F22" s="11">
        <f t="shared" si="3"/>
        <v>99069.833466747295</v>
      </c>
      <c r="G22" s="11">
        <f t="shared" si="2"/>
        <v>56.506456799611534</v>
      </c>
      <c r="H22" s="11">
        <v>99035.7734375</v>
      </c>
      <c r="I22" s="11">
        <v>6073734</v>
      </c>
      <c r="J22" s="14">
        <v>61.310192108154297</v>
      </c>
    </row>
    <row r="23" spans="1:10">
      <c r="A23" s="13" t="s">
        <v>23</v>
      </c>
      <c r="B23" s="10">
        <v>6.9786177482455969E-4</v>
      </c>
      <c r="C23" s="10">
        <f>IF('Opioid Mortality - WONDER'!G21="Not Applicable","NA",'Opioid Mortality - WONDER'!$G21/100000)</f>
        <v>6.3670000000000005E-5</v>
      </c>
      <c r="D23" s="22">
        <f t="shared" si="0"/>
        <v>6.3419177482455964E-4</v>
      </c>
      <c r="E23" s="22">
        <f t="shared" si="1"/>
        <v>6.3421196944657421E-4</v>
      </c>
      <c r="F23" s="11">
        <f t="shared" si="3"/>
        <v>99013.327009947679</v>
      </c>
      <c r="G23" s="11">
        <f t="shared" si="2"/>
        <v>62.795437124436596</v>
      </c>
      <c r="H23" s="11">
        <v>98971.3515625</v>
      </c>
      <c r="I23" s="11">
        <v>5974698.5</v>
      </c>
      <c r="J23" s="14">
        <v>60.346893310546875</v>
      </c>
    </row>
    <row r="24" spans="1:10">
      <c r="A24" s="13" t="s">
        <v>24</v>
      </c>
      <c r="B24" s="10">
        <v>7.9517130507156253E-4</v>
      </c>
      <c r="C24" s="10">
        <f>IF('Opioid Mortality - WONDER'!G22="Not Applicable","NA",'Opioid Mortality - WONDER'!$G22/100000)</f>
        <v>9.4930000000000001E-5</v>
      </c>
      <c r="D24" s="22">
        <f t="shared" si="0"/>
        <v>7.0024130507156251E-4</v>
      </c>
      <c r="E24" s="22">
        <f t="shared" si="1"/>
        <v>7.0027455189070054E-4</v>
      </c>
      <c r="F24" s="11">
        <f t="shared" si="3"/>
        <v>98950.531572823238</v>
      </c>
      <c r="G24" s="11">
        <f t="shared" si="2"/>
        <v>69.292539156505413</v>
      </c>
      <c r="H24" s="11">
        <v>98897.46875</v>
      </c>
      <c r="I24" s="11">
        <v>5875727</v>
      </c>
      <c r="J24" s="14">
        <v>59.388687133789062</v>
      </c>
    </row>
    <row r="25" spans="1:10">
      <c r="A25" s="13" t="s">
        <v>25</v>
      </c>
      <c r="B25" s="10">
        <v>8.89373361133039E-4</v>
      </c>
      <c r="C25" s="10">
        <f>IF('Opioid Mortality - WONDER'!G23="Not Applicable","NA",'Opioid Mortality - WONDER'!$G23/100000)</f>
        <v>1.2712999999999998E-4</v>
      </c>
      <c r="D25" s="22">
        <f t="shared" si="0"/>
        <v>7.6224336113303896E-4</v>
      </c>
      <c r="E25" s="22">
        <f t="shared" si="1"/>
        <v>7.6229182955733776E-4</v>
      </c>
      <c r="F25" s="11">
        <f t="shared" si="3"/>
        <v>98881.23903366673</v>
      </c>
      <c r="G25" s="11">
        <f t="shared" si="2"/>
        <v>75.376360611870254</v>
      </c>
      <c r="H25" s="11">
        <v>98814.171875</v>
      </c>
      <c r="I25" s="11">
        <v>5776829.5</v>
      </c>
      <c r="J25" s="14">
        <v>58.435550689697266</v>
      </c>
    </row>
    <row r="26" spans="1:10">
      <c r="A26" s="13" t="s">
        <v>26</v>
      </c>
      <c r="B26" s="10">
        <v>9.7021477995440364E-4</v>
      </c>
      <c r="C26" s="10">
        <f>IF('Opioid Mortality - WONDER'!G24="Not Applicable","NA",'Opioid Mortality - WONDER'!$G24/100000)</f>
        <v>1.5880000000000001E-4</v>
      </c>
      <c r="D26" s="22">
        <f t="shared" si="0"/>
        <v>8.1141477995440368E-4</v>
      </c>
      <c r="E26" s="22">
        <f t="shared" si="1"/>
        <v>8.1147923054680771E-4</v>
      </c>
      <c r="F26" s="11">
        <f t="shared" si="3"/>
        <v>98805.862673054857</v>
      </c>
      <c r="G26" s="11">
        <f t="shared" si="2"/>
        <v>80.178905415444106</v>
      </c>
      <c r="H26" s="11">
        <v>98722.296875</v>
      </c>
      <c r="I26" s="11">
        <v>5678015.5</v>
      </c>
      <c r="J26" s="14">
        <v>57.487125396728516</v>
      </c>
    </row>
    <row r="27" spans="1:10">
      <c r="A27" s="13" t="s">
        <v>27</v>
      </c>
      <c r="B27" s="10">
        <v>1.032469910569489E-3</v>
      </c>
      <c r="C27" s="10">
        <f>IF('Opioid Mortality - WONDER'!G25="Not Applicable","NA",'Opioid Mortality - WONDER'!$G25/100000)</f>
        <v>2.0219999999999998E-4</v>
      </c>
      <c r="D27" s="22">
        <f t="shared" si="0"/>
        <v>8.3026991056948897E-4</v>
      </c>
      <c r="E27" s="22">
        <f t="shared" si="1"/>
        <v>8.3035388542318511E-4</v>
      </c>
      <c r="F27" s="11">
        <f t="shared" si="3"/>
        <v>98725.683767639406</v>
      </c>
      <c r="G27" s="11">
        <f t="shared" si="2"/>
        <v>81.977255107520051</v>
      </c>
      <c r="H27" s="11">
        <v>98623.4453125</v>
      </c>
      <c r="I27" s="11">
        <v>5579293</v>
      </c>
      <c r="J27" s="14">
        <v>56.542465209960938</v>
      </c>
    </row>
    <row r="28" spans="1:10">
      <c r="A28" s="13" t="s">
        <v>28</v>
      </c>
      <c r="B28" s="10">
        <v>1.0802376782521605E-3</v>
      </c>
      <c r="C28" s="10">
        <f>IF('Opioid Mortality - WONDER'!G26="Not Applicable","NA",'Opioid Mortality - WONDER'!$G26/100000)</f>
        <v>2.2169E-4</v>
      </c>
      <c r="D28" s="22">
        <f t="shared" si="0"/>
        <v>8.5854767825216058E-4</v>
      </c>
      <c r="E28" s="22">
        <f t="shared" si="1"/>
        <v>8.5864288529380328E-4</v>
      </c>
      <c r="F28" s="11">
        <f t="shared" si="3"/>
        <v>98643.706512531891</v>
      </c>
      <c r="G28" s="11">
        <f t="shared" si="2"/>
        <v>84.699716775995512</v>
      </c>
      <c r="H28" s="11">
        <v>98519.265625</v>
      </c>
      <c r="I28" s="11">
        <v>5480669.5</v>
      </c>
      <c r="J28" s="14">
        <v>55.600387573242188</v>
      </c>
    </row>
    <row r="29" spans="1:10">
      <c r="A29" s="13" t="s">
        <v>29</v>
      </c>
      <c r="B29" s="10">
        <v>1.1225509224459529E-3</v>
      </c>
      <c r="C29" s="10">
        <f>IF('Opioid Mortality - WONDER'!G27="Not Applicable","NA",'Opioid Mortality - WONDER'!$G27/100000)</f>
        <v>2.3338999999999999E-4</v>
      </c>
      <c r="D29" s="22">
        <f t="shared" si="0"/>
        <v>8.8916092244595291E-4</v>
      </c>
      <c r="E29" s="22">
        <f t="shared" si="1"/>
        <v>8.8926473000661144E-4</v>
      </c>
      <c r="F29" s="11">
        <f t="shared" si="3"/>
        <v>98559.006795755893</v>
      </c>
      <c r="G29" s="11">
        <f t="shared" si="2"/>
        <v>87.64504856794764</v>
      </c>
      <c r="H29" s="11">
        <v>98410.7578125</v>
      </c>
      <c r="I29" s="11">
        <v>5382150.5</v>
      </c>
      <c r="J29" s="14">
        <v>54.659976959228516</v>
      </c>
    </row>
    <row r="30" spans="1:10">
      <c r="A30" s="13" t="s">
        <v>30</v>
      </c>
      <c r="B30" s="10">
        <v>1.1651417007669806E-3</v>
      </c>
      <c r="C30" s="10">
        <f>IF('Opioid Mortality - WONDER'!G28="Not Applicable","NA",'Opioid Mortality - WONDER'!$G28/100000)</f>
        <v>2.5196000000000002E-4</v>
      </c>
      <c r="D30" s="22">
        <f t="shared" si="0"/>
        <v>9.1318170076698057E-4</v>
      </c>
      <c r="E30" s="22">
        <f t="shared" si="1"/>
        <v>9.1329679777507611E-4</v>
      </c>
      <c r="F30" s="11">
        <f t="shared" si="3"/>
        <v>98471.361747187941</v>
      </c>
      <c r="G30" s="11">
        <f t="shared" si="2"/>
        <v>89.933579356257866</v>
      </c>
      <c r="H30" s="11">
        <v>98298.1875</v>
      </c>
      <c r="I30" s="11">
        <v>5283739.5</v>
      </c>
      <c r="J30" s="14">
        <v>53.720836639404297</v>
      </c>
    </row>
    <row r="31" spans="1:10">
      <c r="A31" s="13" t="s">
        <v>31</v>
      </c>
      <c r="B31" s="10">
        <v>1.2071458622813225E-3</v>
      </c>
      <c r="C31" s="10">
        <f>IF('Opioid Mortality - WONDER'!G29="Not Applicable","NA",'Opioid Mortality - WONDER'!$G29/100000)</f>
        <v>2.8217999999999999E-4</v>
      </c>
      <c r="D31" s="22">
        <f t="shared" si="0"/>
        <v>9.2496586228132255E-4</v>
      </c>
      <c r="E31" s="22">
        <f t="shared" si="1"/>
        <v>9.2509643054594637E-4</v>
      </c>
      <c r="F31" s="11">
        <f t="shared" si="3"/>
        <v>98381.428167831677</v>
      </c>
      <c r="G31" s="11">
        <f t="shared" si="2"/>
        <v>91.012308030073513</v>
      </c>
      <c r="H31" s="11">
        <v>98181.59375</v>
      </c>
      <c r="I31" s="11">
        <v>5185441.5</v>
      </c>
      <c r="J31" s="14">
        <v>52.782924652099609</v>
      </c>
    </row>
    <row r="32" spans="1:10">
      <c r="A32" s="13" t="s">
        <v>32</v>
      </c>
      <c r="B32" s="10">
        <v>1.2518096482381225E-3</v>
      </c>
      <c r="C32" s="10">
        <f>IF('Opioid Mortality - WONDER'!G30="Not Applicable","NA",'Opioid Mortality - WONDER'!$G30/100000)</f>
        <v>3.0051999999999998E-4</v>
      </c>
      <c r="D32" s="22">
        <f t="shared" si="0"/>
        <v>9.5128964823812249E-4</v>
      </c>
      <c r="E32" s="22">
        <f t="shared" si="1"/>
        <v>9.5143266303632235E-4</v>
      </c>
      <c r="F32" s="11">
        <f t="shared" si="3"/>
        <v>98290.415859801607</v>
      </c>
      <c r="G32" s="11">
        <f t="shared" si="2"/>
        <v>93.516712112438611</v>
      </c>
      <c r="H32" s="11">
        <v>98060.8828125</v>
      </c>
      <c r="I32" s="11">
        <v>5087259.5</v>
      </c>
      <c r="J32" s="14">
        <v>51.846111297607422</v>
      </c>
    </row>
    <row r="33" spans="1:10">
      <c r="A33" s="13" t="s">
        <v>33</v>
      </c>
      <c r="B33" s="10">
        <v>1.2999660102650523E-3</v>
      </c>
      <c r="C33" s="10">
        <f>IF('Opioid Mortality - WONDER'!G31="Not Applicable","NA",'Opioid Mortality - WONDER'!$G31/100000)</f>
        <v>2.9748000000000003E-4</v>
      </c>
      <c r="D33" s="22">
        <f t="shared" si="0"/>
        <v>1.0024860102650522E-3</v>
      </c>
      <c r="E33" s="22">
        <f t="shared" si="1"/>
        <v>1.0026351994900651E-3</v>
      </c>
      <c r="F33" s="11">
        <f t="shared" si="3"/>
        <v>98196.899147689168</v>
      </c>
      <c r="G33" s="11">
        <f t="shared" si="2"/>
        <v>98.455667566249133</v>
      </c>
      <c r="H33" s="11">
        <v>97935.765625</v>
      </c>
      <c r="I33" s="11">
        <v>4989199</v>
      </c>
      <c r="J33" s="14">
        <v>50.910469055175781</v>
      </c>
    </row>
    <row r="34" spans="1:10">
      <c r="A34" s="13" t="s">
        <v>34</v>
      </c>
      <c r="B34" s="10">
        <v>1.3505816459655762E-3</v>
      </c>
      <c r="C34" s="10">
        <f>IF('Opioid Mortality - WONDER'!G32="Not Applicable","NA",'Opioid Mortality - WONDER'!$G32/100000)</f>
        <v>2.8975000000000002E-4</v>
      </c>
      <c r="D34" s="22">
        <f t="shared" si="0"/>
        <v>1.0608316459655761E-3</v>
      </c>
      <c r="E34" s="22">
        <f t="shared" si="1"/>
        <v>1.060985418046223E-3</v>
      </c>
      <c r="F34" s="11">
        <f t="shared" si="3"/>
        <v>98098.443480122922</v>
      </c>
      <c r="G34" s="11">
        <f t="shared" si="2"/>
        <v>104.081018065442</v>
      </c>
      <c r="H34" s="11">
        <v>97805.9765625</v>
      </c>
      <c r="I34" s="11">
        <v>4891263</v>
      </c>
      <c r="J34" s="14">
        <v>49.976085662841797</v>
      </c>
    </row>
    <row r="35" spans="1:10">
      <c r="A35" s="13" t="s">
        <v>35</v>
      </c>
      <c r="B35" s="10">
        <v>1.4020204544067383E-3</v>
      </c>
      <c r="C35" s="10">
        <f>IF('Opioid Mortality - WONDER'!G33="Not Applicable","NA",'Opioid Mortality - WONDER'!$G33/100000)</f>
        <v>3.0167000000000003E-4</v>
      </c>
      <c r="D35" s="22">
        <f t="shared" si="0"/>
        <v>1.1003504544067383E-3</v>
      </c>
      <c r="E35" s="22">
        <f t="shared" si="1"/>
        <v>1.1005165200953515E-3</v>
      </c>
      <c r="F35" s="11">
        <f t="shared" si="3"/>
        <v>97994.362462057485</v>
      </c>
      <c r="G35" s="11">
        <f t="shared" si="2"/>
        <v>107.84441476570605</v>
      </c>
      <c r="H35" s="11">
        <v>97671.3671875</v>
      </c>
      <c r="I35" s="11">
        <v>4793457</v>
      </c>
      <c r="J35" s="14">
        <v>49.042999267578125</v>
      </c>
    </row>
    <row r="36" spans="1:10">
      <c r="A36" s="13" t="s">
        <v>36</v>
      </c>
      <c r="B36" s="10">
        <v>1.4542329590767622E-3</v>
      </c>
      <c r="C36" s="10">
        <f>IF('Opioid Mortality - WONDER'!G34="Not Applicable","NA",'Opioid Mortality - WONDER'!$G34/100000)</f>
        <v>3.2085999999999996E-4</v>
      </c>
      <c r="D36" s="22">
        <f t="shared" si="0"/>
        <v>1.1333729590767621E-3</v>
      </c>
      <c r="E36" s="22">
        <f t="shared" si="1"/>
        <v>1.1335548937742024E-3</v>
      </c>
      <c r="F36" s="11">
        <f t="shared" si="3"/>
        <v>97886.518047291785</v>
      </c>
      <c r="G36" s="11">
        <f t="shared" si="2"/>
        <v>110.95974156702438</v>
      </c>
      <c r="H36" s="11">
        <v>97531.8828125</v>
      </c>
      <c r="I36" s="11">
        <v>4695785.5</v>
      </c>
      <c r="J36" s="14">
        <v>48.111148834228516</v>
      </c>
    </row>
    <row r="37" spans="1:10">
      <c r="A37" s="13" t="s">
        <v>37</v>
      </c>
      <c r="B37" s="10">
        <v>1.5055579133331776E-3</v>
      </c>
      <c r="C37" s="10">
        <f>IF('Opioid Mortality - WONDER'!G35="Not Applicable","NA",'Opioid Mortality - WONDER'!$G35/100000)</f>
        <v>3.2451999999999996E-4</v>
      </c>
      <c r="D37" s="22">
        <f t="shared" si="0"/>
        <v>1.1810379133331775E-3</v>
      </c>
      <c r="E37" s="22">
        <f t="shared" si="1"/>
        <v>1.1812296655450139E-3</v>
      </c>
      <c r="F37" s="11">
        <f t="shared" si="3"/>
        <v>97775.558305724757</v>
      </c>
      <c r="G37" s="11">
        <f t="shared" si="2"/>
        <v>115.49539003594826</v>
      </c>
      <c r="H37" s="11">
        <v>97387.546875</v>
      </c>
      <c r="I37" s="11">
        <v>4598254</v>
      </c>
      <c r="J37" s="14">
        <v>47.180492401123047</v>
      </c>
    </row>
    <row r="38" spans="1:10">
      <c r="A38" s="13" t="s">
        <v>38</v>
      </c>
      <c r="B38" s="10">
        <v>1.5564917121082544E-3</v>
      </c>
      <c r="C38" s="10">
        <f>IF('Opioid Mortality - WONDER'!G36="Not Applicable","NA",'Opioid Mortality - WONDER'!$G36/100000)</f>
        <v>3.1271000000000001E-4</v>
      </c>
      <c r="D38" s="22">
        <f t="shared" si="0"/>
        <v>1.2437817121082545E-3</v>
      </c>
      <c r="E38" s="22">
        <f t="shared" si="1"/>
        <v>1.2439763048704977E-3</v>
      </c>
      <c r="F38" s="11">
        <f t="shared" si="3"/>
        <v>97660.062915688803</v>
      </c>
      <c r="G38" s="11">
        <f t="shared" si="2"/>
        <v>121.48680419927888</v>
      </c>
      <c r="H38" s="11">
        <v>97238.4453125</v>
      </c>
      <c r="I38" s="11">
        <v>4500866.5</v>
      </c>
      <c r="J38" s="14">
        <v>46.250881195068359</v>
      </c>
    </row>
    <row r="39" spans="1:10">
      <c r="A39" s="13" t="s">
        <v>39</v>
      </c>
      <c r="B39" s="10">
        <v>1.6147659625858068E-3</v>
      </c>
      <c r="C39" s="10">
        <f>IF('Opioid Mortality - WONDER'!G37="Not Applicable","NA",'Opioid Mortality - WONDER'!$G37/100000)</f>
        <v>3.1959000000000002E-4</v>
      </c>
      <c r="D39" s="22">
        <f t="shared" si="0"/>
        <v>1.2951759625858068E-3</v>
      </c>
      <c r="E39" s="22">
        <f t="shared" si="1"/>
        <v>1.2953830587937309E-3</v>
      </c>
      <c r="F39" s="11">
        <f t="shared" si="3"/>
        <v>97538.576111489529</v>
      </c>
      <c r="G39" s="11">
        <f t="shared" si="2"/>
        <v>126.34981907368645</v>
      </c>
      <c r="H39" s="11">
        <v>97084.265625</v>
      </c>
      <c r="I39" s="11">
        <v>4403628</v>
      </c>
      <c r="J39" s="14">
        <v>45.322200775146484</v>
      </c>
    </row>
    <row r="40" spans="1:10">
      <c r="A40" s="13" t="s">
        <v>40</v>
      </c>
      <c r="B40" s="10">
        <v>1.6787280328571796E-3</v>
      </c>
      <c r="C40" s="10">
        <f>IF('Opioid Mortality - WONDER'!G38="Not Applicable","NA",'Opioid Mortality - WONDER'!$G38/100000)</f>
        <v>3.0621000000000001E-4</v>
      </c>
      <c r="D40" s="22">
        <f t="shared" si="0"/>
        <v>1.3725180328571797E-3</v>
      </c>
      <c r="E40" s="22">
        <f t="shared" si="1"/>
        <v>1.3727283113960098E-3</v>
      </c>
      <c r="F40" s="11">
        <f t="shared" si="3"/>
        <v>97412.226292415842</v>
      </c>
      <c r="G40" s="11">
        <f t="shared" si="2"/>
        <v>133.72052090771399</v>
      </c>
      <c r="H40" s="11">
        <v>96924.390625</v>
      </c>
      <c r="I40" s="11">
        <v>4306543.5</v>
      </c>
      <c r="J40" s="14">
        <v>44.394695281982422</v>
      </c>
    </row>
    <row r="41" spans="1:10">
      <c r="A41" s="13" t="s">
        <v>41</v>
      </c>
      <c r="B41" s="10">
        <v>1.7399053322151303E-3</v>
      </c>
      <c r="C41" s="10">
        <f>IF('Opioid Mortality - WONDER'!G39="Not Applicable","NA",'Opioid Mortality - WONDER'!$G39/100000)</f>
        <v>2.8627999999999998E-4</v>
      </c>
      <c r="D41" s="22">
        <f t="shared" si="0"/>
        <v>1.4536253322151305E-3</v>
      </c>
      <c r="E41" s="22">
        <f t="shared" si="1"/>
        <v>1.4538335448084361E-3</v>
      </c>
      <c r="F41" s="11">
        <f t="shared" si="3"/>
        <v>97278.505771508135</v>
      </c>
      <c r="G41" s="11">
        <f t="shared" si="2"/>
        <v>141.42675487945957</v>
      </c>
      <c r="H41" s="11">
        <v>96758.71875</v>
      </c>
      <c r="I41" s="11">
        <v>4209619</v>
      </c>
      <c r="J41" s="14">
        <v>43.468505859375</v>
      </c>
    </row>
    <row r="42" spans="1:10">
      <c r="A42" s="13" t="s">
        <v>42</v>
      </c>
      <c r="B42" s="10">
        <v>1.7976908711716533E-3</v>
      </c>
      <c r="C42" s="10">
        <f>IF('Opioid Mortality - WONDER'!G40="Not Applicable","NA",'Opioid Mortality - WONDER'!$G40/100000)</f>
        <v>2.7812000000000003E-4</v>
      </c>
      <c r="D42" s="22">
        <f t="shared" si="0"/>
        <v>1.5195708711716533E-3</v>
      </c>
      <c r="E42" s="22">
        <f t="shared" si="1"/>
        <v>1.5197823290530321E-3</v>
      </c>
      <c r="F42" s="11">
        <f t="shared" si="3"/>
        <v>97137.079016628675</v>
      </c>
      <c r="G42" s="11">
        <f t="shared" si="2"/>
        <v>147.62721618530034</v>
      </c>
      <c r="H42" s="11">
        <v>96587.578125</v>
      </c>
      <c r="I42" s="11">
        <v>4112860.5</v>
      </c>
      <c r="J42" s="14">
        <v>42.543399810791016</v>
      </c>
    </row>
    <row r="43" spans="1:10">
      <c r="A43" s="13" t="s">
        <v>43</v>
      </c>
      <c r="B43" s="10">
        <v>1.8595327856019139E-3</v>
      </c>
      <c r="C43" s="10">
        <f>IF('Opioid Mortality - WONDER'!G41="Not Applicable","NA",'Opioid Mortality - WONDER'!$G41/100000)</f>
        <v>2.9419E-4</v>
      </c>
      <c r="D43" s="22">
        <f t="shared" si="0"/>
        <v>1.565342785601914E-3</v>
      </c>
      <c r="E43" s="22">
        <f t="shared" si="1"/>
        <v>1.5655732051661486E-3</v>
      </c>
      <c r="F43" s="11">
        <f t="shared" si="3"/>
        <v>96989.451800443378</v>
      </c>
      <c r="G43" s="11">
        <f t="shared" si="2"/>
        <v>151.84408692252782</v>
      </c>
      <c r="H43" s="11">
        <v>96410.953125</v>
      </c>
      <c r="I43" s="11">
        <v>4016273</v>
      </c>
      <c r="J43" s="14">
        <v>41.619117736816406</v>
      </c>
    </row>
    <row r="44" spans="1:10">
      <c r="A44" s="13" t="s">
        <v>44</v>
      </c>
      <c r="B44" s="10">
        <v>1.9360573496669531E-3</v>
      </c>
      <c r="C44" s="10">
        <f>IF('Opioid Mortality - WONDER'!G42="Not Applicable","NA",'Opioid Mortality - WONDER'!$G42/100000)</f>
        <v>2.6462000000000002E-4</v>
      </c>
      <c r="D44" s="22">
        <f t="shared" si="0"/>
        <v>1.671437349666953E-3</v>
      </c>
      <c r="E44" s="22">
        <f t="shared" si="1"/>
        <v>1.671658659935682E-3</v>
      </c>
      <c r="F44" s="11">
        <f t="shared" si="3"/>
        <v>96837.607713520847</v>
      </c>
      <c r="G44" s="11">
        <f t="shared" si="2"/>
        <v>161.87942554176152</v>
      </c>
      <c r="H44" s="11">
        <v>96227.9921875</v>
      </c>
      <c r="I44" s="11">
        <v>3919862</v>
      </c>
      <c r="J44" s="14">
        <v>40.695720672607422</v>
      </c>
    </row>
    <row r="45" spans="1:10">
      <c r="A45" s="13" t="s">
        <v>45</v>
      </c>
      <c r="B45" s="10">
        <v>2.0360702183097601E-3</v>
      </c>
      <c r="C45" s="10">
        <f>IF('Opioid Mortality - WONDER'!G43="Not Applicable","NA",'Opioid Mortality - WONDER'!$G43/100000)</f>
        <v>2.6524000000000003E-4</v>
      </c>
      <c r="D45" s="22">
        <f t="shared" si="0"/>
        <v>1.7708302183097602E-3</v>
      </c>
      <c r="E45" s="22">
        <f t="shared" si="1"/>
        <v>1.7710652461612186E-3</v>
      </c>
      <c r="F45" s="11">
        <f t="shared" si="3"/>
        <v>96675.728287979087</v>
      </c>
      <c r="G45" s="11">
        <f t="shared" si="2"/>
        <v>171.21902251816476</v>
      </c>
      <c r="H45" s="11">
        <v>96036.8828125</v>
      </c>
      <c r="I45" s="11">
        <v>3823634</v>
      </c>
      <c r="J45" s="14">
        <v>39.773693084716797</v>
      </c>
    </row>
    <row r="46" spans="1:10">
      <c r="A46" s="13" t="s">
        <v>46</v>
      </c>
      <c r="B46" s="10">
        <v>2.1597782615572214E-3</v>
      </c>
      <c r="C46" s="10">
        <f>IF('Opioid Mortality - WONDER'!G44="Not Applicable","NA",'Opioid Mortality - WONDER'!$G44/100000)</f>
        <v>2.3579999999999999E-4</v>
      </c>
      <c r="D46" s="22">
        <f t="shared" si="0"/>
        <v>1.9239782615572214E-3</v>
      </c>
      <c r="E46" s="22">
        <f t="shared" si="1"/>
        <v>1.9242052799360865E-3</v>
      </c>
      <c r="F46" s="11">
        <f t="shared" si="3"/>
        <v>96504.509265460918</v>
      </c>
      <c r="G46" s="11">
        <f t="shared" si="2"/>
        <v>185.69448626624089</v>
      </c>
      <c r="H46" s="11">
        <v>95835.4140625</v>
      </c>
      <c r="I46" s="11">
        <v>3727597</v>
      </c>
      <c r="J46" s="14">
        <v>38.853816986083984</v>
      </c>
    </row>
    <row r="47" spans="1:10">
      <c r="A47" s="13" t="s">
        <v>47</v>
      </c>
      <c r="B47" s="10">
        <v>2.3056466598063707E-3</v>
      </c>
      <c r="C47" s="10">
        <f>IF('Opioid Mortality - WONDER'!G45="Not Applicable","NA",'Opioid Mortality - WONDER'!$G45/100000)</f>
        <v>2.4305E-4</v>
      </c>
      <c r="D47" s="22">
        <f t="shared" si="0"/>
        <v>2.0625966598063709E-3</v>
      </c>
      <c r="E47" s="22">
        <f t="shared" si="1"/>
        <v>2.062847530073908E-3</v>
      </c>
      <c r="F47" s="11">
        <f t="shared" si="3"/>
        <v>96318.814779194683</v>
      </c>
      <c r="G47" s="11">
        <f t="shared" si="2"/>
        <v>198.69102916690798</v>
      </c>
      <c r="H47" s="11">
        <v>95621.453125</v>
      </c>
      <c r="I47" s="11">
        <v>3631761.75</v>
      </c>
      <c r="J47" s="14">
        <v>37.936832427978516</v>
      </c>
    </row>
    <row r="48" spans="1:10">
      <c r="A48" s="13" t="s">
        <v>48</v>
      </c>
      <c r="B48" s="10">
        <v>2.4699631612747908E-3</v>
      </c>
      <c r="C48" s="10">
        <f>IF('Opioid Mortality - WONDER'!G46="Not Applicable","NA",'Opioid Mortality - WONDER'!$G46/100000)</f>
        <v>2.2352E-4</v>
      </c>
      <c r="D48" s="22">
        <f t="shared" si="0"/>
        <v>2.2464431612747907E-3</v>
      </c>
      <c r="E48" s="22">
        <f t="shared" si="1"/>
        <v>2.2466944494647922E-3</v>
      </c>
      <c r="F48" s="11">
        <f t="shared" si="3"/>
        <v>96120.123750027778</v>
      </c>
      <c r="G48" s="11">
        <f t="shared" si="2"/>
        <v>215.95254851105636</v>
      </c>
      <c r="H48" s="11">
        <v>95393.1328125</v>
      </c>
      <c r="I48" s="11">
        <v>3536140.25</v>
      </c>
      <c r="J48" s="14">
        <v>37.023349761962891</v>
      </c>
    </row>
    <row r="49" spans="1:10">
      <c r="A49" s="13" t="s">
        <v>49</v>
      </c>
      <c r="B49" s="10">
        <v>2.6473840698599815E-3</v>
      </c>
      <c r="C49" s="10">
        <f>IF('Opioid Mortality - WONDER'!G47="Not Applicable","NA",'Opioid Mortality - WONDER'!$G47/100000)</f>
        <v>2.4245000000000001E-4</v>
      </c>
      <c r="D49" s="22">
        <f t="shared" si="0"/>
        <v>2.4049340698599816E-3</v>
      </c>
      <c r="E49" s="22">
        <f t="shared" si="1"/>
        <v>2.4052258892143241E-3</v>
      </c>
      <c r="F49" s="11">
        <f t="shared" si="3"/>
        <v>95904.171201516729</v>
      </c>
      <c r="G49" s="11">
        <f t="shared" si="2"/>
        <v>230.67119545753084</v>
      </c>
      <c r="H49" s="11">
        <v>95149.0625</v>
      </c>
      <c r="I49" s="11">
        <v>3440747</v>
      </c>
      <c r="J49" s="14">
        <v>36.113780975341797</v>
      </c>
    </row>
    <row r="50" spans="1:10">
      <c r="A50" s="13" t="s">
        <v>50</v>
      </c>
      <c r="B50" s="10">
        <v>2.8458281885832548E-3</v>
      </c>
      <c r="C50" s="10">
        <f>IF('Opioid Mortality - WONDER'!G48="Not Applicable","NA",'Opioid Mortality - WONDER'!$G48/100000)</f>
        <v>2.3931999999999998E-4</v>
      </c>
      <c r="D50" s="22">
        <f t="shared" si="0"/>
        <v>2.6065081885832549E-3</v>
      </c>
      <c r="E50" s="22">
        <f t="shared" si="1"/>
        <v>2.6068204045767152E-3</v>
      </c>
      <c r="F50" s="11">
        <f t="shared" si="3"/>
        <v>95673.500006059199</v>
      </c>
      <c r="G50" s="11">
        <f t="shared" si="2"/>
        <v>249.4036319930656</v>
      </c>
      <c r="H50" s="11">
        <v>94887.7421875</v>
      </c>
      <c r="I50" s="11">
        <v>3345598</v>
      </c>
      <c r="J50" s="14">
        <v>35.20831298828125</v>
      </c>
    </row>
    <row r="51" spans="1:10">
      <c r="A51" s="13" t="s">
        <v>51</v>
      </c>
      <c r="B51" s="10">
        <v>3.0785934068262577E-3</v>
      </c>
      <c r="C51" s="10">
        <f>IF('Opioid Mortality - WONDER'!G49="Not Applicable","NA",'Opioid Mortality - WONDER'!$G49/100000)</f>
        <v>2.5052000000000001E-4</v>
      </c>
      <c r="D51" s="22">
        <f t="shared" si="0"/>
        <v>2.8280734068262575E-3</v>
      </c>
      <c r="E51" s="22">
        <f t="shared" si="1"/>
        <v>2.8284280450388E-3</v>
      </c>
      <c r="F51" s="11">
        <f t="shared" si="3"/>
        <v>95424.096374066139</v>
      </c>
      <c r="G51" s="11">
        <f t="shared" si="2"/>
        <v>269.90019035689392</v>
      </c>
      <c r="H51" s="11">
        <v>94606.6796875</v>
      </c>
      <c r="I51" s="11">
        <v>3250710.25</v>
      </c>
      <c r="J51" s="14">
        <v>34.307369232177734</v>
      </c>
    </row>
    <row r="52" spans="1:10">
      <c r="A52" s="13" t="s">
        <v>52</v>
      </c>
      <c r="B52" s="10">
        <v>3.35723627358675E-3</v>
      </c>
      <c r="C52" s="10">
        <f>IF('Opioid Mortality - WONDER'!G50="Not Applicable","NA",'Opioid Mortality - WONDER'!$G50/100000)</f>
        <v>2.3815999999999998E-4</v>
      </c>
      <c r="D52" s="22">
        <f t="shared" si="0"/>
        <v>3.1190762735867502E-3</v>
      </c>
      <c r="E52" s="22">
        <f t="shared" si="1"/>
        <v>3.1194481390982576E-3</v>
      </c>
      <c r="F52" s="11">
        <f t="shared" si="3"/>
        <v>95154.196183709239</v>
      </c>
      <c r="G52" s="11">
        <f t="shared" si="2"/>
        <v>296.8285802126623</v>
      </c>
      <c r="H52" s="11">
        <v>94302.265625</v>
      </c>
      <c r="I52" s="11">
        <v>3156103.5</v>
      </c>
      <c r="J52" s="14">
        <v>33.411769866943359</v>
      </c>
    </row>
    <row r="53" spans="1:10">
      <c r="A53" s="13" t="s">
        <v>53</v>
      </c>
      <c r="B53" s="10">
        <v>3.6819539964199066E-3</v>
      </c>
      <c r="C53" s="10">
        <f>IF('Opioid Mortality - WONDER'!G51="Not Applicable","NA",'Opioid Mortality - WONDER'!$G51/100000)</f>
        <v>2.4019999999999998E-4</v>
      </c>
      <c r="D53" s="22">
        <f t="shared" si="0"/>
        <v>3.4417539964199067E-3</v>
      </c>
      <c r="E53" s="22">
        <f t="shared" si="1"/>
        <v>3.4421678925180554E-3</v>
      </c>
      <c r="F53" s="11">
        <f t="shared" si="3"/>
        <v>94857.367603496576</v>
      </c>
      <c r="G53" s="11">
        <f t="shared" si="2"/>
        <v>326.51498513353829</v>
      </c>
      <c r="H53" s="11">
        <v>93970.390625</v>
      </c>
      <c r="I53" s="11">
        <v>3061801.25</v>
      </c>
      <c r="J53" s="14">
        <v>32.522636413574219</v>
      </c>
    </row>
    <row r="54" spans="1:10">
      <c r="A54" s="13" t="s">
        <v>54</v>
      </c>
      <c r="B54" s="10">
        <v>4.0296413935720921E-3</v>
      </c>
      <c r="C54" s="10">
        <f>IF('Opioid Mortality - WONDER'!G52="Not Applicable","NA",'Opioid Mortality - WONDER'!$G52/100000)</f>
        <v>2.3548999999999998E-4</v>
      </c>
      <c r="D54" s="22">
        <f t="shared" si="0"/>
        <v>3.794151393572092E-3</v>
      </c>
      <c r="E54" s="22">
        <f t="shared" si="1"/>
        <v>3.794598772386526E-3</v>
      </c>
      <c r="F54" s="11">
        <f t="shared" si="3"/>
        <v>94530.852618363031</v>
      </c>
      <c r="G54" s="11">
        <f t="shared" si="2"/>
        <v>358.70665729829199</v>
      </c>
      <c r="H54" s="11">
        <v>93608.0859375</v>
      </c>
      <c r="I54" s="11">
        <v>2967831</v>
      </c>
      <c r="J54" s="14">
        <v>31.64097785949707</v>
      </c>
    </row>
    <row r="55" spans="1:10">
      <c r="A55" s="13" t="s">
        <v>55</v>
      </c>
      <c r="B55" s="10">
        <v>4.4009480625391006E-3</v>
      </c>
      <c r="C55" s="10">
        <f>IF('Opioid Mortality - WONDER'!G53="Not Applicable","NA",'Opioid Mortality - WONDER'!$G53/100000)</f>
        <v>2.4772999999999999E-4</v>
      </c>
      <c r="D55" s="22">
        <f t="shared" si="0"/>
        <v>4.1532180625391008E-3</v>
      </c>
      <c r="E55" s="22">
        <f t="shared" si="1"/>
        <v>4.1537332998555776E-3</v>
      </c>
      <c r="F55" s="11">
        <f t="shared" si="3"/>
        <v>94172.145961064743</v>
      </c>
      <c r="G55" s="11">
        <f t="shared" si="2"/>
        <v>391.16597859733457</v>
      </c>
      <c r="H55" s="11">
        <v>93213.53125</v>
      </c>
      <c r="I55" s="11">
        <v>2874222.75</v>
      </c>
      <c r="J55" s="14">
        <v>30.766969680786133</v>
      </c>
    </row>
    <row r="56" spans="1:10">
      <c r="A56" s="13" t="s">
        <v>56</v>
      </c>
      <c r="B56" s="10">
        <v>4.8200725577771664E-3</v>
      </c>
      <c r="C56" s="10">
        <f>IF('Opioid Mortality - WONDER'!G54="Not Applicable","NA",'Opioid Mortality - WONDER'!$G54/100000)</f>
        <v>2.2827000000000001E-4</v>
      </c>
      <c r="D56" s="22">
        <f t="shared" si="0"/>
        <v>4.5918025577771663E-3</v>
      </c>
      <c r="E56" s="22">
        <f t="shared" si="1"/>
        <v>4.5923275272651276E-3</v>
      </c>
      <c r="F56" s="11">
        <f t="shared" si="3"/>
        <v>93780.979982467412</v>
      </c>
      <c r="G56" s="11">
        <f t="shared" si="2"/>
        <v>430.67297590738502</v>
      </c>
      <c r="H56" s="11">
        <v>92783.8125</v>
      </c>
      <c r="I56" s="11">
        <v>2781009.25</v>
      </c>
      <c r="J56" s="14">
        <v>29.900762557983398</v>
      </c>
    </row>
    <row r="57" spans="1:10">
      <c r="A57" s="13" t="s">
        <v>57</v>
      </c>
      <c r="B57" s="10">
        <v>5.2849845960736275E-3</v>
      </c>
      <c r="C57" s="10">
        <f>IF('Opioid Mortality - WONDER'!G55="Not Applicable","NA",'Opioid Mortality - WONDER'!$G55/100000)</f>
        <v>2.4474000000000002E-4</v>
      </c>
      <c r="D57" s="22">
        <f t="shared" si="0"/>
        <v>5.0402445960736272E-3</v>
      </c>
      <c r="E57" s="22">
        <f t="shared" si="1"/>
        <v>5.0408625107533078E-3</v>
      </c>
      <c r="F57" s="11">
        <f t="shared" si="3"/>
        <v>93350.307006560033</v>
      </c>
      <c r="G57" s="11">
        <f t="shared" si="2"/>
        <v>470.5660629566803</v>
      </c>
      <c r="H57" s="11">
        <v>92315.078125</v>
      </c>
      <c r="I57" s="11">
        <v>2688225.5</v>
      </c>
      <c r="J57" s="14">
        <v>29.043163299560547</v>
      </c>
    </row>
    <row r="58" spans="1:10">
      <c r="A58" s="13" t="s">
        <v>58</v>
      </c>
      <c r="B58" s="10">
        <v>5.7783392257988453E-3</v>
      </c>
      <c r="C58" s="10">
        <f>IF('Opioid Mortality - WONDER'!G56="Not Applicable","NA",'Opioid Mortality - WONDER'!$G56/100000)</f>
        <v>2.4164000000000002E-4</v>
      </c>
      <c r="D58" s="22">
        <f t="shared" si="0"/>
        <v>5.5366992257988449E-3</v>
      </c>
      <c r="E58" s="22">
        <f t="shared" si="1"/>
        <v>5.5373695161156089E-3</v>
      </c>
      <c r="F58" s="11">
        <f t="shared" si="3"/>
        <v>92879.740943603349</v>
      </c>
      <c r="G58" s="11">
        <f t="shared" si="2"/>
        <v>514.30944616582394</v>
      </c>
      <c r="H58" s="11">
        <v>91804.4765625</v>
      </c>
      <c r="I58" s="11">
        <v>2595910.5</v>
      </c>
      <c r="J58" s="14">
        <v>28.194816589355469</v>
      </c>
    </row>
    <row r="59" spans="1:10">
      <c r="A59" s="13" t="s">
        <v>59</v>
      </c>
      <c r="B59" s="10">
        <v>6.2836850993335247E-3</v>
      </c>
      <c r="C59" s="10">
        <f>IF('Opioid Mortality - WONDER'!G57="Not Applicable","NA",'Opioid Mortality - WONDER'!$G57/100000)</f>
        <v>2.3112E-4</v>
      </c>
      <c r="D59" s="22">
        <f t="shared" si="0"/>
        <v>6.0525650993335251E-3</v>
      </c>
      <c r="E59" s="22">
        <f t="shared" si="1"/>
        <v>6.0532660575278729E-3</v>
      </c>
      <c r="F59" s="11">
        <f t="shared" si="3"/>
        <v>92365.43149743753</v>
      </c>
      <c r="G59" s="11">
        <f t="shared" si="2"/>
        <v>559.11253137235451</v>
      </c>
      <c r="H59" s="11">
        <v>91250.875</v>
      </c>
      <c r="I59" s="11">
        <v>2504106</v>
      </c>
      <c r="J59" s="14">
        <v>27.355777740478516</v>
      </c>
    </row>
    <row r="60" spans="1:10">
      <c r="A60" s="13" t="s">
        <v>60</v>
      </c>
      <c r="B60" s="10">
        <v>6.7942789755761623E-3</v>
      </c>
      <c r="C60" s="10">
        <f>IF('Opioid Mortality - WONDER'!G58="Not Applicable","NA",'Opioid Mortality - WONDER'!$G58/100000)</f>
        <v>2.1271999999999998E-4</v>
      </c>
      <c r="D60" s="22">
        <f t="shared" si="0"/>
        <v>6.5815589755761628E-3</v>
      </c>
      <c r="E60" s="22">
        <f t="shared" si="1"/>
        <v>6.5822606308539866E-3</v>
      </c>
      <c r="F60" s="11">
        <f t="shared" si="3"/>
        <v>91806.31896606517</v>
      </c>
      <c r="G60" s="11">
        <f t="shared" si="2"/>
        <v>604.29311899395441</v>
      </c>
      <c r="H60" s="11">
        <v>90654.2578125</v>
      </c>
      <c r="I60" s="11">
        <v>2412855</v>
      </c>
      <c r="J60" s="14">
        <v>26.525594711303711</v>
      </c>
    </row>
    <row r="61" spans="1:10">
      <c r="A61" s="13" t="s">
        <v>61</v>
      </c>
      <c r="B61" s="10">
        <v>7.3187043890357018E-3</v>
      </c>
      <c r="C61" s="10">
        <f>IF('Opioid Mortality - WONDER'!G59="Not Applicable","NA",'Opioid Mortality - WONDER'!$G59/100000)</f>
        <v>2.0873999999999998E-4</v>
      </c>
      <c r="D61" s="22">
        <f t="shared" si="0"/>
        <v>7.109964389035702E-3</v>
      </c>
      <c r="E61" s="22">
        <f t="shared" si="1"/>
        <v>7.1107083249164482E-3</v>
      </c>
      <c r="F61" s="11">
        <f t="shared" si="3"/>
        <v>91202.025847071214</v>
      </c>
      <c r="G61" s="11">
        <f t="shared" si="2"/>
        <v>648.5110044400144</v>
      </c>
      <c r="H61" s="11">
        <v>90014.640625</v>
      </c>
      <c r="I61" s="11">
        <v>2322200.75</v>
      </c>
      <c r="J61" s="14">
        <v>25.703630447387695</v>
      </c>
    </row>
    <row r="62" spans="1:10">
      <c r="A62" s="13" t="s">
        <v>62</v>
      </c>
      <c r="B62" s="10">
        <v>7.8689772635698318E-3</v>
      </c>
      <c r="C62" s="10">
        <f>IF('Opioid Mortality - WONDER'!G60="Not Applicable","NA",'Opioid Mortality - WONDER'!$G60/100000)</f>
        <v>2.0018999999999999E-4</v>
      </c>
      <c r="D62" s="22">
        <f t="shared" si="0"/>
        <v>7.6687872635698316E-3</v>
      </c>
      <c r="E62" s="22">
        <f t="shared" si="1"/>
        <v>7.6695569437474909E-3</v>
      </c>
      <c r="F62" s="11">
        <f t="shared" si="3"/>
        <v>90553.514842631193</v>
      </c>
      <c r="G62" s="11">
        <f t="shared" si="2"/>
        <v>694.50533854204355</v>
      </c>
      <c r="H62" s="11">
        <v>89331.171875</v>
      </c>
      <c r="I62" s="11">
        <v>2232186.25</v>
      </c>
      <c r="J62" s="14">
        <v>24.889450073242188</v>
      </c>
    </row>
    <row r="63" spans="1:10">
      <c r="A63" s="13" t="s">
        <v>63</v>
      </c>
      <c r="B63" s="10">
        <v>8.4562739357352257E-3</v>
      </c>
      <c r="C63" s="10">
        <f>IF('Opioid Mortality - WONDER'!G61="Not Applicable","NA",'Opioid Mortality - WONDER'!$G61/100000)</f>
        <v>1.738E-4</v>
      </c>
      <c r="D63" s="22">
        <f t="shared" si="0"/>
        <v>8.2824739357352257E-3</v>
      </c>
      <c r="E63" s="22">
        <f t="shared" si="1"/>
        <v>8.2831957620999042E-3</v>
      </c>
      <c r="F63" s="11">
        <f t="shared" si="3"/>
        <v>89859.009504089147</v>
      </c>
      <c r="G63" s="11">
        <f t="shared" si="2"/>
        <v>744.3197667107662</v>
      </c>
      <c r="H63" s="11">
        <v>88602.1015625</v>
      </c>
      <c r="I63" s="11">
        <v>2142855</v>
      </c>
      <c r="J63" s="14">
        <v>24.082891464233398</v>
      </c>
    </row>
    <row r="64" spans="1:10">
      <c r="A64" s="13" t="s">
        <v>64</v>
      </c>
      <c r="B64" s="10">
        <v>9.0925619006156921E-3</v>
      </c>
      <c r="C64" s="10">
        <f>IF('Opioid Mortality - WONDER'!G62="Not Applicable","NA",'Opioid Mortality - WONDER'!$G62/100000)</f>
        <v>1.6071000000000002E-4</v>
      </c>
      <c r="D64" s="22">
        <f t="shared" si="0"/>
        <v>8.9318519006156925E-3</v>
      </c>
      <c r="E64" s="22">
        <f t="shared" si="1"/>
        <v>8.9325718435340207E-3</v>
      </c>
      <c r="F64" s="11">
        <f t="shared" si="3"/>
        <v>89114.689737378387</v>
      </c>
      <c r="G64" s="11">
        <f t="shared" si="2"/>
        <v>796.02336839337636</v>
      </c>
      <c r="H64" s="11">
        <v>87824.7890625</v>
      </c>
      <c r="I64" s="11">
        <v>2054252.875</v>
      </c>
      <c r="J64" s="14">
        <v>23.284013748168945</v>
      </c>
    </row>
    <row r="65" spans="1:10">
      <c r="A65" s="13" t="s">
        <v>65</v>
      </c>
      <c r="B65" s="10">
        <v>9.7675202414393425E-3</v>
      </c>
      <c r="C65" s="10">
        <f>IF('Opioid Mortality - WONDER'!G63="Not Applicable","NA",'Opioid Mortality - WONDER'!$G63/100000)</f>
        <v>1.4296999999999999E-4</v>
      </c>
      <c r="D65" s="22">
        <f t="shared" si="0"/>
        <v>9.6245502414393433E-3</v>
      </c>
      <c r="E65" s="22">
        <f t="shared" si="1"/>
        <v>9.6252405365029325E-3</v>
      </c>
      <c r="F65" s="11">
        <f t="shared" si="3"/>
        <v>88318.66636898501</v>
      </c>
      <c r="G65" s="11">
        <f t="shared" si="2"/>
        <v>850.08840766463277</v>
      </c>
      <c r="H65" s="11">
        <v>86996.734375</v>
      </c>
      <c r="I65" s="11">
        <v>1966428.125</v>
      </c>
      <c r="J65" s="14">
        <v>22.493082046508789</v>
      </c>
    </row>
    <row r="66" spans="1:10">
      <c r="A66" s="13" t="s">
        <v>66</v>
      </c>
      <c r="B66" s="10">
        <v>1.0466912761330605E-2</v>
      </c>
      <c r="C66" s="10">
        <f>IF('Opioid Mortality - WONDER'!G64="Not Applicable","NA",'Opioid Mortality - WONDER'!$G64/100000)</f>
        <v>1.3061E-4</v>
      </c>
      <c r="D66" s="22">
        <f t="shared" si="0"/>
        <v>1.0336302761330605E-2</v>
      </c>
      <c r="E66" s="22">
        <f t="shared" si="1"/>
        <v>1.0336980170705057E-2</v>
      </c>
      <c r="F66" s="11">
        <f t="shared" si="3"/>
        <v>87468.577961320378</v>
      </c>
      <c r="G66" s="11">
        <f t="shared" si="2"/>
        <v>904.1609559459381</v>
      </c>
      <c r="H66" s="11">
        <v>86116.71875</v>
      </c>
      <c r="I66" s="11">
        <v>1879431.375</v>
      </c>
      <c r="J66" s="14">
        <v>21.710018157958984</v>
      </c>
    </row>
    <row r="67" spans="1:10">
      <c r="A67" s="13" t="s">
        <v>67</v>
      </c>
      <c r="B67" s="10">
        <v>1.1180669069290161E-2</v>
      </c>
      <c r="C67" s="10">
        <f>IF('Opioid Mortality - WONDER'!G65="Not Applicable","NA",'Opioid Mortality - WONDER'!$G65/100000)</f>
        <v>1.1326000000000001E-4</v>
      </c>
      <c r="D67" s="22">
        <f t="shared" si="0"/>
        <v>1.1067409069290161E-2</v>
      </c>
      <c r="E67" s="22">
        <f t="shared" si="1"/>
        <v>1.1068038189492868E-2</v>
      </c>
      <c r="F67" s="11">
        <f t="shared" si="3"/>
        <v>86564.417005374446</v>
      </c>
      <c r="G67" s="11">
        <f t="shared" si="2"/>
        <v>958.09827326667028</v>
      </c>
      <c r="H67" s="11">
        <v>85184.765625</v>
      </c>
      <c r="I67" s="11">
        <v>1793314.625</v>
      </c>
      <c r="J67" s="14">
        <v>20.934370040893555</v>
      </c>
    </row>
    <row r="68" spans="1:10">
      <c r="A68" s="13" t="s">
        <v>68</v>
      </c>
      <c r="B68" s="10">
        <v>1.192191056907177E-2</v>
      </c>
      <c r="C68" s="10">
        <f>IF('Opioid Mortality - WONDER'!G66="Not Applicable","NA",'Opioid Mortality - WONDER'!$G66/100000)</f>
        <v>1.0590999999999999E-4</v>
      </c>
      <c r="D68" s="22">
        <f t="shared" si="0"/>
        <v>1.1816000569071769E-2</v>
      </c>
      <c r="E68" s="22">
        <f t="shared" si="1"/>
        <v>1.1816628809178886E-2</v>
      </c>
      <c r="F68" s="11">
        <f t="shared" si="3"/>
        <v>85606.318732107771</v>
      </c>
      <c r="G68" s="11">
        <f t="shared" si="2"/>
        <v>1011.5780921775748</v>
      </c>
      <c r="H68" s="11">
        <v>84200.953125</v>
      </c>
      <c r="I68" s="11">
        <v>1708129.875</v>
      </c>
      <c r="J68" s="14">
        <v>20.165422439575195</v>
      </c>
    </row>
    <row r="69" spans="1:10">
      <c r="A69" s="13" t="s">
        <v>69</v>
      </c>
      <c r="B69" s="10">
        <v>1.2710461392998695E-2</v>
      </c>
      <c r="C69" s="10">
        <f>IF('Opioid Mortality - WONDER'!G67="Not Applicable","NA",'Opioid Mortality - WONDER'!$G67/100000)</f>
        <v>8.632E-5</v>
      </c>
      <c r="D69" s="22">
        <f t="shared" ref="D69:D104" si="4">IF(C69="NA","NA",B69-C69)</f>
        <v>1.2624141392998695E-2</v>
      </c>
      <c r="E69" s="22">
        <f t="shared" ref="E69:E104" si="5">IF(D69="NA","NA",1-(1-B69)^(D69/B69))</f>
        <v>1.2624688590018751E-2</v>
      </c>
      <c r="F69" s="11">
        <f t="shared" si="3"/>
        <v>84594.740639930198</v>
      </c>
      <c r="G69" s="11">
        <f t="shared" ref="G69:G104" si="6">F69*E69</f>
        <v>1067.9822569325222</v>
      </c>
      <c r="H69" s="11">
        <v>83164.1171875</v>
      </c>
      <c r="I69" s="11">
        <v>1623929</v>
      </c>
      <c r="J69" s="14">
        <v>19.402702331542969</v>
      </c>
    </row>
    <row r="70" spans="1:10">
      <c r="A70" s="13" t="s">
        <v>70</v>
      </c>
      <c r="B70" s="10">
        <v>1.3621198944747448E-2</v>
      </c>
      <c r="C70" s="10">
        <f>IF('Opioid Mortality - WONDER'!G68="Not Applicable","NA",'Opioid Mortality - WONDER'!$G68/100000)</f>
        <v>7.4469999999999997E-5</v>
      </c>
      <c r="D70" s="22">
        <f t="shared" si="4"/>
        <v>1.3546728944747448E-2</v>
      </c>
      <c r="E70" s="22">
        <f t="shared" si="5"/>
        <v>1.3547235675810954E-2</v>
      </c>
      <c r="F70" s="11">
        <f t="shared" ref="F70:F104" si="7">IF(E69="NA","NA",F69*(1-E69))</f>
        <v>83526.758382997679</v>
      </c>
      <c r="G70" s="11">
        <f t="shared" si="6"/>
        <v>1131.5566810509879</v>
      </c>
      <c r="H70" s="11">
        <v>82069.4375</v>
      </c>
      <c r="I70" s="11">
        <v>1540764.875</v>
      </c>
      <c r="J70" s="14">
        <v>18.64605712890625</v>
      </c>
    </row>
    <row r="71" spans="1:10">
      <c r="A71" s="13" t="s">
        <v>71</v>
      </c>
      <c r="B71" s="10">
        <v>1.4620319940149784E-2</v>
      </c>
      <c r="C71" s="10">
        <f>IF('Opioid Mortality - WONDER'!G69="Not Applicable","NA",'Opioid Mortality - WONDER'!$G69/100000)</f>
        <v>6.0979999999999996E-5</v>
      </c>
      <c r="D71" s="22">
        <f t="shared" si="4"/>
        <v>1.4559339940149784E-2</v>
      </c>
      <c r="E71" s="22">
        <f t="shared" si="5"/>
        <v>1.4559786042892431E-2</v>
      </c>
      <c r="F71" s="11">
        <f t="shared" si="7"/>
        <v>82395.201701946688</v>
      </c>
      <c r="G71" s="11">
        <f t="shared" si="6"/>
        <v>1199.65650774131</v>
      </c>
      <c r="H71" s="11">
        <v>80910.8359375</v>
      </c>
      <c r="I71" s="11">
        <v>1458695.375</v>
      </c>
      <c r="J71" s="14">
        <v>17.896638870239258</v>
      </c>
    </row>
    <row r="72" spans="1:10">
      <c r="A72" s="13" t="s">
        <v>72</v>
      </c>
      <c r="B72" s="10">
        <v>1.5770327299833298E-2</v>
      </c>
      <c r="C72" s="10">
        <f>IF('Opioid Mortality - WONDER'!G70="Not Applicable","NA",'Opioid Mortality - WONDER'!$G70/100000)</f>
        <v>5.2899999999999998E-5</v>
      </c>
      <c r="D72" s="22">
        <f t="shared" si="4"/>
        <v>1.5717427299833296E-2</v>
      </c>
      <c r="E72" s="22">
        <f t="shared" si="5"/>
        <v>1.5717845235978745E-2</v>
      </c>
      <c r="F72" s="11">
        <f t="shared" si="7"/>
        <v>81195.545194205377</v>
      </c>
      <c r="G72" s="11">
        <f t="shared" si="6"/>
        <v>1276.2190132134378</v>
      </c>
      <c r="H72" s="11">
        <v>79681.7109375</v>
      </c>
      <c r="I72" s="11">
        <v>1377784.5</v>
      </c>
      <c r="J72" s="14">
        <v>17.154758453369141</v>
      </c>
    </row>
    <row r="73" spans="1:10">
      <c r="A73" s="13" t="s">
        <v>73</v>
      </c>
      <c r="B73" s="10">
        <v>1.7100013792514801E-2</v>
      </c>
      <c r="C73" s="10">
        <f>IF('Opioid Mortality - WONDER'!G71="Not Applicable","NA",'Opioid Mortality - WONDER'!$G71/100000)</f>
        <v>4.8369999999999999E-5</v>
      </c>
      <c r="D73" s="22">
        <f t="shared" si="4"/>
        <v>1.7051643792514802E-2</v>
      </c>
      <c r="E73" s="22">
        <f t="shared" si="5"/>
        <v>1.7052058564209882E-2</v>
      </c>
      <c r="F73" s="11">
        <f t="shared" si="7"/>
        <v>79919.326180991935</v>
      </c>
      <c r="G73" s="11">
        <f t="shared" si="6"/>
        <v>1362.7890304504665</v>
      </c>
      <c r="H73" s="11">
        <v>78372.546875</v>
      </c>
      <c r="I73" s="11">
        <v>1298102.875</v>
      </c>
      <c r="J73" s="14">
        <v>16.42161750793457</v>
      </c>
    </row>
    <row r="74" spans="1:10">
      <c r="A74" s="13" t="s">
        <v>74</v>
      </c>
      <c r="B74" s="10">
        <v>1.8428446725010872E-2</v>
      </c>
      <c r="C74" s="10">
        <f>IF('Opioid Mortality - WONDER'!G72="Not Applicable","NA",'Opioid Mortality - WONDER'!$G72/100000)</f>
        <v>2.9780000000000003E-5</v>
      </c>
      <c r="D74" s="22">
        <f t="shared" si="4"/>
        <v>1.8398666725010872E-2</v>
      </c>
      <c r="E74" s="22">
        <f t="shared" si="5"/>
        <v>1.8398942382457983E-2</v>
      </c>
      <c r="F74" s="11">
        <f t="shared" si="7"/>
        <v>78556.537150541466</v>
      </c>
      <c r="G74" s="11">
        <f t="shared" si="6"/>
        <v>1445.3572007982325</v>
      </c>
      <c r="H74" s="11">
        <v>76980.7734375</v>
      </c>
      <c r="I74" s="11">
        <v>1219730.25</v>
      </c>
      <c r="J74" s="14">
        <v>15.698613166809082</v>
      </c>
    </row>
    <row r="75" spans="1:10">
      <c r="A75" s="13" t="s">
        <v>75</v>
      </c>
      <c r="B75" s="10">
        <v>2.0316941663622856E-2</v>
      </c>
      <c r="C75" s="10">
        <f>IF('Opioid Mortality - WONDER'!G73="Not Applicable","NA",'Opioid Mortality - WONDER'!$G73/100000)</f>
        <v>3.1919999999999999E-5</v>
      </c>
      <c r="D75" s="22">
        <f t="shared" si="4"/>
        <v>2.0285021663622855E-2</v>
      </c>
      <c r="E75" s="22">
        <f t="shared" si="5"/>
        <v>2.0285347631144091E-2</v>
      </c>
      <c r="F75" s="11">
        <f t="shared" si="7"/>
        <v>77111.179949743237</v>
      </c>
      <c r="G75" s="11">
        <f t="shared" si="6"/>
        <v>1564.2270915282497</v>
      </c>
      <c r="H75" s="11">
        <v>75490.125</v>
      </c>
      <c r="I75" s="11">
        <v>1142749.5</v>
      </c>
      <c r="J75" s="14">
        <v>14.98395824432373</v>
      </c>
    </row>
    <row r="76" spans="1:10">
      <c r="A76" s="13" t="s">
        <v>76</v>
      </c>
      <c r="B76" s="10">
        <v>2.2101905196905136E-2</v>
      </c>
      <c r="C76" s="10">
        <f>IF('Opioid Mortality - WONDER'!G74="Not Applicable","NA",'Opioid Mortality - WONDER'!$G74/100000)</f>
        <v>3.2929999999999998E-5</v>
      </c>
      <c r="D76" s="22">
        <f t="shared" si="4"/>
        <v>2.2068975196905136E-2</v>
      </c>
      <c r="E76" s="22">
        <f t="shared" si="5"/>
        <v>2.2069341273644016E-2</v>
      </c>
      <c r="F76" s="11">
        <f t="shared" si="7"/>
        <v>75546.952858214994</v>
      </c>
      <c r="G76" s="11">
        <f t="shared" si="6"/>
        <v>1667.271484811843</v>
      </c>
      <c r="H76" s="11">
        <v>73889.71875</v>
      </c>
      <c r="I76" s="11">
        <v>1067259.375</v>
      </c>
      <c r="J76" s="14">
        <v>14.284331321716309</v>
      </c>
    </row>
    <row r="77" spans="1:10">
      <c r="A77" s="13" t="s">
        <v>77</v>
      </c>
      <c r="B77" s="10">
        <v>2.4193743243813515E-2</v>
      </c>
      <c r="C77" s="10">
        <f>IF('Opioid Mortality - WONDER'!G75="Not Applicable","NA",'Opioid Mortality - WONDER'!$G75/100000)</f>
        <v>1.9380000000000001E-5</v>
      </c>
      <c r="D77" s="22">
        <f t="shared" si="4"/>
        <v>2.4174363243813515E-2</v>
      </c>
      <c r="E77" s="22">
        <f t="shared" si="5"/>
        <v>2.4174599407248976E-2</v>
      </c>
      <c r="F77" s="11">
        <f t="shared" si="7"/>
        <v>73879.681373403146</v>
      </c>
      <c r="G77" s="11">
        <f t="shared" si="6"/>
        <v>1786.0117015372148</v>
      </c>
      <c r="H77" s="11">
        <v>72180.1875</v>
      </c>
      <c r="I77" s="11">
        <v>993369.6875</v>
      </c>
      <c r="J77" s="14">
        <v>13.595876693725586</v>
      </c>
    </row>
    <row r="78" spans="1:10">
      <c r="A78" s="13" t="s">
        <v>78</v>
      </c>
      <c r="B78" s="10">
        <v>2.6342058554291725E-2</v>
      </c>
      <c r="C78" s="10">
        <f>IF('Opioid Mortality - WONDER'!G76="Not Applicable","NA",'Opioid Mortality - WONDER'!$G76/100000)</f>
        <v>1.8660000000000001E-5</v>
      </c>
      <c r="D78" s="22">
        <f t="shared" si="4"/>
        <v>2.6323398554291725E-2</v>
      </c>
      <c r="E78" s="22">
        <f t="shared" si="5"/>
        <v>2.6323646338532014E-2</v>
      </c>
      <c r="F78" s="11">
        <f t="shared" si="7"/>
        <v>72093.669671865937</v>
      </c>
      <c r="G78" s="11">
        <f t="shared" si="6"/>
        <v>1897.7682636891502</v>
      </c>
      <c r="H78" s="11">
        <v>70357.296875</v>
      </c>
      <c r="I78" s="11">
        <v>921189.5</v>
      </c>
      <c r="J78" s="14">
        <v>12.920571327209473</v>
      </c>
    </row>
    <row r="79" spans="1:10">
      <c r="A79" s="13" t="s">
        <v>79</v>
      </c>
      <c r="B79" s="10">
        <v>2.9041821137070656E-2</v>
      </c>
      <c r="C79" s="10">
        <f>IF('Opioid Mortality - WONDER'!G77="Not Applicable","NA",'Opioid Mortality - WONDER'!$G77/100000)</f>
        <v>1.863E-5</v>
      </c>
      <c r="D79" s="22">
        <f t="shared" si="4"/>
        <v>2.9023191137070657E-2</v>
      </c>
      <c r="E79" s="22">
        <f t="shared" si="5"/>
        <v>2.9023464145653266E-2</v>
      </c>
      <c r="F79" s="11">
        <f t="shared" si="7"/>
        <v>70195.901408176782</v>
      </c>
      <c r="G79" s="11">
        <f t="shared" si="6"/>
        <v>2037.3282276920304</v>
      </c>
      <c r="H79" s="11">
        <v>68410.234375</v>
      </c>
      <c r="I79" s="11">
        <v>850832.1875</v>
      </c>
      <c r="J79" s="14">
        <v>12.256607055664062</v>
      </c>
    </row>
    <row r="80" spans="1:10">
      <c r="A80" s="13" t="s">
        <v>80</v>
      </c>
      <c r="B80" s="10">
        <v>3.2000839710235596E-2</v>
      </c>
      <c r="C80" s="10">
        <f>IF('Opioid Mortality - WONDER'!G78="Not Applicable","NA",'Opioid Mortality - WONDER'!$G78/100000)</f>
        <v>1.8409999999999998E-5</v>
      </c>
      <c r="D80" s="22">
        <f t="shared" si="4"/>
        <v>3.1982429710235592E-2</v>
      </c>
      <c r="E80" s="22">
        <f t="shared" si="5"/>
        <v>3.1982727301915093E-2</v>
      </c>
      <c r="F80" s="11">
        <f t="shared" si="7"/>
        <v>68158.573180484746</v>
      </c>
      <c r="G80" s="11">
        <f t="shared" si="6"/>
        <v>2179.8970593190675</v>
      </c>
      <c r="H80" s="11">
        <v>66323.7578125</v>
      </c>
      <c r="I80" s="11">
        <v>782421.9375</v>
      </c>
      <c r="J80" s="14">
        <v>11.608251571655273</v>
      </c>
    </row>
    <row r="81" spans="1:10">
      <c r="A81" s="13" t="s">
        <v>81</v>
      </c>
      <c r="B81" s="10">
        <v>3.5443209111690521E-2</v>
      </c>
      <c r="C81" s="10">
        <f>IF('Opioid Mortality - WONDER'!G79="Not Applicable","NA",'Opioid Mortality - WONDER'!$G79/100000)</f>
        <v>1.3879999999999999E-5</v>
      </c>
      <c r="D81" s="22">
        <f t="shared" si="4"/>
        <v>3.542932911169052E-2</v>
      </c>
      <c r="E81" s="22">
        <f t="shared" si="5"/>
        <v>3.5429577949924407E-2</v>
      </c>
      <c r="F81" s="11">
        <f t="shared" si="7"/>
        <v>65978.676121165685</v>
      </c>
      <c r="G81" s="11">
        <f t="shared" si="6"/>
        <v>2337.5966486676557</v>
      </c>
      <c r="H81" s="11">
        <v>64089.0390625</v>
      </c>
      <c r="I81" s="11">
        <v>716098.1875</v>
      </c>
      <c r="J81" s="14">
        <v>10.975476264953613</v>
      </c>
    </row>
    <row r="82" spans="1:10">
      <c r="A82" s="13" t="s">
        <v>82</v>
      </c>
      <c r="B82" s="10">
        <v>3.9257220923900604E-2</v>
      </c>
      <c r="C82" s="10">
        <f>IF('Opioid Mortality - WONDER'!G80="Not Applicable","NA",'Opioid Mortality - WONDER'!$G80/100000)</f>
        <v>1.5549999999999999E-5</v>
      </c>
      <c r="D82" s="22">
        <f t="shared" si="4"/>
        <v>3.9241670923900601E-2</v>
      </c>
      <c r="E82" s="22">
        <f t="shared" si="5"/>
        <v>3.924198010229607E-2</v>
      </c>
      <c r="F82" s="11">
        <f t="shared" si="7"/>
        <v>63641.07947249803</v>
      </c>
      <c r="G82" s="11">
        <f t="shared" si="6"/>
        <v>2497.4019743484105</v>
      </c>
      <c r="H82" s="11">
        <v>61697.5078125</v>
      </c>
      <c r="I82" s="11">
        <v>652009.1875</v>
      </c>
      <c r="J82" s="14">
        <v>10.360404968261719</v>
      </c>
    </row>
    <row r="83" spans="1:10">
      <c r="A83" s="13" t="s">
        <v>83</v>
      </c>
      <c r="B83" s="10">
        <v>4.3392524123191833E-2</v>
      </c>
      <c r="C83" s="10">
        <f>IF('Opioid Mortality - WONDER'!G81="Not Applicable","NA",'Opioid Mortality - WONDER'!$G81/100000)</f>
        <v>1.5800000000000001E-5</v>
      </c>
      <c r="D83" s="22">
        <f t="shared" si="4"/>
        <v>4.337672412319183E-2</v>
      </c>
      <c r="E83" s="22">
        <f t="shared" si="5"/>
        <v>4.3377071868126671E-2</v>
      </c>
      <c r="F83" s="11">
        <f t="shared" si="7"/>
        <v>61143.67749814962</v>
      </c>
      <c r="G83" s="11">
        <f t="shared" si="6"/>
        <v>2652.2336931187956</v>
      </c>
      <c r="H83" s="11">
        <v>59150.41796875</v>
      </c>
      <c r="I83" s="11">
        <v>590311.6875</v>
      </c>
      <c r="J83" s="14">
        <v>9.7633142471313477</v>
      </c>
    </row>
    <row r="84" spans="1:10">
      <c r="A84" s="13" t="s">
        <v>84</v>
      </c>
      <c r="B84" s="10">
        <v>4.8162896186113358E-2</v>
      </c>
      <c r="C84" s="10">
        <f>IF('Opioid Mortality - WONDER'!G82="Not Applicable","NA",'Opioid Mortality - WONDER'!$G82/100000)</f>
        <v>7.2542934535805013E-6</v>
      </c>
      <c r="D84" s="22">
        <f t="shared" si="4"/>
        <v>4.8155641892659778E-2</v>
      </c>
      <c r="E84" s="22">
        <f t="shared" si="5"/>
        <v>4.8155819434386959E-2</v>
      </c>
      <c r="F84" s="11">
        <f t="shared" si="7"/>
        <v>58491.443805030824</v>
      </c>
      <c r="G84" s="11">
        <f t="shared" si="6"/>
        <v>2816.703406331656</v>
      </c>
      <c r="H84" s="11">
        <v>56445.7734375</v>
      </c>
      <c r="I84" s="11">
        <v>531161.25</v>
      </c>
      <c r="J84" s="14">
        <v>9.1835060119628906</v>
      </c>
    </row>
    <row r="85" spans="1:10">
      <c r="A85" s="13" t="s">
        <v>85</v>
      </c>
      <c r="B85" s="10">
        <v>5.3216438740491867E-2</v>
      </c>
      <c r="C85" s="10">
        <f>IF('Opioid Mortality - WONDER'!G83="Not Applicable","NA",'Opioid Mortality - WONDER'!$G83/100000)</f>
        <v>1.7E-5</v>
      </c>
      <c r="D85" s="22">
        <f t="shared" si="4"/>
        <v>5.3199438740491864E-2</v>
      </c>
      <c r="E85" s="22">
        <f t="shared" si="5"/>
        <v>5.3199899180298327E-2</v>
      </c>
      <c r="F85" s="11">
        <f t="shared" si="7"/>
        <v>55674.74039869917</v>
      </c>
      <c r="G85" s="11">
        <f t="shared" si="6"/>
        <v>2961.8905761000783</v>
      </c>
      <c r="H85" s="11">
        <v>53588.078125</v>
      </c>
      <c r="I85" s="11">
        <v>474715.46875</v>
      </c>
      <c r="J85" s="14">
        <v>8.6228904724121094</v>
      </c>
    </row>
    <row r="86" spans="1:10">
      <c r="A86" s="13" t="s">
        <v>86</v>
      </c>
      <c r="B86" s="10">
        <v>5.923973023891449E-2</v>
      </c>
      <c r="C86" s="10">
        <f>IF('Opioid Mortality - WONDER'!G84="Not Applicable","NA",'Opioid Mortality - WONDER'!$G84/100000)</f>
        <v>1.1507101525512888E-5</v>
      </c>
      <c r="D86" s="22">
        <f t="shared" si="4"/>
        <v>5.9228223137388979E-2</v>
      </c>
      <c r="E86" s="22">
        <f t="shared" si="5"/>
        <v>5.9228570847128625E-2</v>
      </c>
      <c r="F86" s="11">
        <f t="shared" si="7"/>
        <v>52712.849822599092</v>
      </c>
      <c r="G86" s="11">
        <f t="shared" si="6"/>
        <v>3122.1067602718617</v>
      </c>
      <c r="H86" s="11">
        <v>50579.33203125</v>
      </c>
      <c r="I86" s="11">
        <v>421127.40625</v>
      </c>
      <c r="J86" s="14">
        <v>8.0794591903686523</v>
      </c>
    </row>
    <row r="87" spans="1:10">
      <c r="A87" s="13" t="s">
        <v>87</v>
      </c>
      <c r="B87" s="10">
        <v>6.6563829779624939E-2</v>
      </c>
      <c r="C87" s="10">
        <f>IF('Opioid Mortality - WONDER'!G85="Not Applicable","NA",'Opioid Mortality - WONDER'!$G85/100000)</f>
        <v>5.6173989570362608E-6</v>
      </c>
      <c r="D87" s="22">
        <f t="shared" si="4"/>
        <v>6.6558212380667905E-2</v>
      </c>
      <c r="E87" s="22">
        <f t="shared" si="5"/>
        <v>6.6558403614730643E-2</v>
      </c>
      <c r="F87" s="11">
        <f t="shared" si="7"/>
        <v>49590.74306232723</v>
      </c>
      <c r="G87" s="11">
        <f t="shared" si="6"/>
        <v>3300.6806922967794</v>
      </c>
      <c r="H87" s="11">
        <v>47403.453125</v>
      </c>
      <c r="I87" s="11">
        <v>370548.0625</v>
      </c>
      <c r="J87" s="14">
        <v>7.5567383766174316</v>
      </c>
    </row>
    <row r="88" spans="1:10">
      <c r="A88" s="13" t="s">
        <v>88</v>
      </c>
      <c r="B88" s="10">
        <v>7.4045203626155853E-2</v>
      </c>
      <c r="C88" s="10">
        <f>IF('Opioid Mortality - WONDER'!G86="Not Applicable","NA",'Opioid Mortality - WONDER'!$G86/100000)</f>
        <v>9.9185193634294271E-6</v>
      </c>
      <c r="D88" s="22">
        <f t="shared" si="4"/>
        <v>7.4035285106792428E-2</v>
      </c>
      <c r="E88" s="22">
        <f t="shared" si="5"/>
        <v>7.403566168161968E-2</v>
      </c>
      <c r="F88" s="11">
        <f t="shared" si="7"/>
        <v>46290.06237003045</v>
      </c>
      <c r="G88" s="11">
        <f t="shared" si="6"/>
        <v>3427.1153968486483</v>
      </c>
      <c r="H88" s="11">
        <v>44076.8828125</v>
      </c>
      <c r="I88" s="11">
        <v>323144.59375</v>
      </c>
      <c r="J88" s="14">
        <v>7.0599579811096191</v>
      </c>
    </row>
    <row r="89" spans="1:10">
      <c r="A89" s="13" t="s">
        <v>89</v>
      </c>
      <c r="B89" s="10">
        <v>8.1953547894954681E-2</v>
      </c>
      <c r="C89" s="10" t="str">
        <f>IF('Opioid Mortality - WONDER'!G87="Not Applicable","NA",'Opioid Mortality - WONDER'!$G87/100000)</f>
        <v>NA</v>
      </c>
      <c r="D89" s="22" t="str">
        <f t="shared" si="4"/>
        <v>NA</v>
      </c>
      <c r="E89" s="22" t="str">
        <f t="shared" si="5"/>
        <v>NA</v>
      </c>
      <c r="F89" s="11">
        <f t="shared" si="7"/>
        <v>42862.946973181803</v>
      </c>
      <c r="G89" s="11" t="e">
        <f t="shared" si="6"/>
        <v>#VALUE!</v>
      </c>
      <c r="H89" s="11">
        <v>40645.6171875</v>
      </c>
      <c r="I89" s="11">
        <v>279067.71875</v>
      </c>
      <c r="J89" s="14">
        <v>6.58453369140625</v>
      </c>
    </row>
    <row r="90" spans="1:10">
      <c r="A90" s="13" t="s">
        <v>90</v>
      </c>
      <c r="B90" s="10">
        <v>9.087931364774704E-2</v>
      </c>
      <c r="C90" s="10" t="str">
        <f>IF('Opioid Mortality - WONDER'!G88="Not Applicable","NA",'Opioid Mortality - WONDER'!$G88/100000)</f>
        <v>NA</v>
      </c>
      <c r="D90" s="22" t="str">
        <f t="shared" si="4"/>
        <v>NA</v>
      </c>
      <c r="E90" s="22" t="str">
        <f t="shared" si="5"/>
        <v>NA</v>
      </c>
      <c r="F90" s="11" t="str">
        <f t="shared" si="7"/>
        <v>NA</v>
      </c>
      <c r="G90" s="11" t="e">
        <f t="shared" si="6"/>
        <v>#VALUE!</v>
      </c>
      <c r="H90" s="11">
        <v>37140.91796875</v>
      </c>
      <c r="I90" s="11">
        <v>238422.109375</v>
      </c>
      <c r="J90" s="14">
        <v>6.1276969909667969</v>
      </c>
    </row>
    <row r="91" spans="1:10">
      <c r="A91" s="13" t="s">
        <v>91</v>
      </c>
      <c r="B91" s="10">
        <v>0.10193751752376556</v>
      </c>
      <c r="C91" s="10" t="str">
        <f>IF('Opioid Mortality - WONDER'!G89="Not Applicable","NA",'Opioid Mortality - WONDER'!$G89/100000)</f>
        <v>NA</v>
      </c>
      <c r="D91" s="22" t="str">
        <f t="shared" si="4"/>
        <v>NA</v>
      </c>
      <c r="E91" s="22" t="str">
        <f t="shared" si="5"/>
        <v>NA</v>
      </c>
      <c r="F91" s="11" t="str">
        <f t="shared" si="7"/>
        <v>NA</v>
      </c>
      <c r="G91" s="11" t="e">
        <f t="shared" si="6"/>
        <v>#VALUE!</v>
      </c>
      <c r="H91" s="11">
        <v>33569.99609375</v>
      </c>
      <c r="I91" s="11">
        <v>201281.1875</v>
      </c>
      <c r="J91" s="14">
        <v>5.6902637481689453</v>
      </c>
    </row>
    <row r="92" spans="1:10">
      <c r="A92" s="13" t="s">
        <v>92</v>
      </c>
      <c r="B92" s="10">
        <v>0.11407470703125</v>
      </c>
      <c r="C92" s="10" t="str">
        <f>IF('Opioid Mortality - WONDER'!G90="Not Applicable","NA",'Opioid Mortality - WONDER'!$G90/100000)</f>
        <v>NA</v>
      </c>
      <c r="D92" s="22" t="str">
        <f t="shared" si="4"/>
        <v>NA</v>
      </c>
      <c r="E92" s="22" t="str">
        <f t="shared" si="5"/>
        <v>NA</v>
      </c>
      <c r="F92" s="11" t="str">
        <f t="shared" si="7"/>
        <v>NA</v>
      </c>
      <c r="G92" s="11" t="e">
        <f t="shared" si="6"/>
        <v>#VALUE!</v>
      </c>
      <c r="H92" s="11">
        <v>29955.173828125</v>
      </c>
      <c r="I92" s="11">
        <v>167711.1875</v>
      </c>
      <c r="J92" s="14">
        <v>5.2794013023376465</v>
      </c>
    </row>
    <row r="93" spans="1:10">
      <c r="A93" s="13" t="s">
        <v>93</v>
      </c>
      <c r="B93" s="10">
        <v>0.12733118236064911</v>
      </c>
      <c r="C93" s="10" t="str">
        <f>IF('Opioid Mortality - WONDER'!G91="Not Applicable","NA",'Opioid Mortality - WONDER'!$G91/100000)</f>
        <v>NA</v>
      </c>
      <c r="D93" s="22" t="str">
        <f t="shared" si="4"/>
        <v>NA</v>
      </c>
      <c r="E93" s="22" t="str">
        <f t="shared" si="5"/>
        <v>NA</v>
      </c>
      <c r="F93" s="11" t="str">
        <f t="shared" si="7"/>
        <v>NA</v>
      </c>
      <c r="G93" s="11" t="e">
        <f t="shared" si="6"/>
        <v>#VALUE!</v>
      </c>
      <c r="H93" s="11">
        <v>26351.505859375</v>
      </c>
      <c r="I93" s="11">
        <v>137756.015625</v>
      </c>
      <c r="J93" s="14">
        <v>4.894813060760498</v>
      </c>
    </row>
    <row r="94" spans="1:10">
      <c r="A94" s="13" t="s">
        <v>94</v>
      </c>
      <c r="B94" s="10">
        <v>0.14173302054405212</v>
      </c>
      <c r="C94" s="10" t="str">
        <f>IF('Opioid Mortality - WONDER'!G92="Not Applicable","NA",'Opioid Mortality - WONDER'!$G92/100000)</f>
        <v>NA</v>
      </c>
      <c r="D94" s="22" t="str">
        <f t="shared" si="4"/>
        <v>NA</v>
      </c>
      <c r="E94" s="22" t="str">
        <f t="shared" si="5"/>
        <v>NA</v>
      </c>
      <c r="F94" s="11" t="str">
        <f t="shared" si="7"/>
        <v>NA</v>
      </c>
      <c r="G94" s="11" t="e">
        <f t="shared" si="6"/>
        <v>#VALUE!</v>
      </c>
      <c r="H94" s="11">
        <v>22819.28515625</v>
      </c>
      <c r="I94" s="11">
        <v>111404.515625</v>
      </c>
      <c r="J94" s="14">
        <v>4.5360608100891113</v>
      </c>
    </row>
    <row r="95" spans="1:10">
      <c r="A95" s="13" t="s">
        <v>95</v>
      </c>
      <c r="B95" s="10">
        <v>0.15728875994682312</v>
      </c>
      <c r="C95" s="10" t="str">
        <f>IF('Opioid Mortality - WONDER'!G93="Not Applicable","NA",'Opioid Mortality - WONDER'!$G93/100000)</f>
        <v>NA</v>
      </c>
      <c r="D95" s="22" t="str">
        <f t="shared" si="4"/>
        <v>NA</v>
      </c>
      <c r="E95" s="22" t="str">
        <f t="shared" si="5"/>
        <v>NA</v>
      </c>
      <c r="F95" s="11" t="str">
        <f t="shared" si="7"/>
        <v>NA</v>
      </c>
      <c r="G95" s="11" t="e">
        <f t="shared" si="6"/>
        <v>#VALUE!</v>
      </c>
      <c r="H95" s="11">
        <v>19421.08984375</v>
      </c>
      <c r="I95" s="11">
        <v>88585.2265625</v>
      </c>
      <c r="J95" s="14">
        <v>4.2025704383850098</v>
      </c>
    </row>
    <row r="96" spans="1:10">
      <c r="A96" s="13" t="s">
        <v>96</v>
      </c>
      <c r="B96" s="10">
        <v>0.17398592829704285</v>
      </c>
      <c r="C96" s="10" t="str">
        <f>IF('Opioid Mortality - WONDER'!G94="Not Applicable","NA",'Opioid Mortality - WONDER'!$G94/100000)</f>
        <v>NA</v>
      </c>
      <c r="D96" s="22" t="str">
        <f t="shared" si="4"/>
        <v>NA</v>
      </c>
      <c r="E96" s="22" t="str">
        <f t="shared" si="5"/>
        <v>NA</v>
      </c>
      <c r="F96" s="11" t="str">
        <f t="shared" si="7"/>
        <v>NA</v>
      </c>
      <c r="G96" s="11" t="e">
        <f t="shared" si="6"/>
        <v>#VALUE!</v>
      </c>
      <c r="H96" s="11">
        <v>16218.072265625</v>
      </c>
      <c r="I96" s="11">
        <v>69164.140625</v>
      </c>
      <c r="J96" s="14">
        <v>3.8936407566070557</v>
      </c>
    </row>
    <row r="97" spans="1:10">
      <c r="A97" s="13" t="s">
        <v>97</v>
      </c>
      <c r="B97" s="10">
        <v>0.19178822636604309</v>
      </c>
      <c r="C97" s="10" t="str">
        <f>IF('Opioid Mortality - WONDER'!G95="Not Applicable","NA",'Opioid Mortality - WONDER'!$G95/100000)</f>
        <v>NA</v>
      </c>
      <c r="D97" s="22" t="str">
        <f t="shared" si="4"/>
        <v>NA</v>
      </c>
      <c r="E97" s="22" t="str">
        <f t="shared" si="5"/>
        <v>NA</v>
      </c>
      <c r="F97" s="11" t="str">
        <f t="shared" si="7"/>
        <v>NA</v>
      </c>
      <c r="G97" s="11" t="e">
        <f t="shared" si="6"/>
        <v>#VALUE!</v>
      </c>
      <c r="H97" s="11">
        <v>13265.751953125</v>
      </c>
      <c r="I97" s="11">
        <v>52946.06640625</v>
      </c>
      <c r="J97" s="14">
        <v>3.6084537506103516</v>
      </c>
    </row>
    <row r="98" spans="1:10">
      <c r="A98" s="13" t="s">
        <v>98</v>
      </c>
      <c r="B98" s="10">
        <v>0.21063330769538879</v>
      </c>
      <c r="C98" s="10" t="str">
        <f>IF('Opioid Mortality - WONDER'!G96="Not Applicable","NA",'Opioid Mortality - WONDER'!$G96/100000)</f>
        <v>NA</v>
      </c>
      <c r="D98" s="22" t="str">
        <f t="shared" si="4"/>
        <v>NA</v>
      </c>
      <c r="E98" s="22" t="str">
        <f t="shared" si="5"/>
        <v>NA</v>
      </c>
      <c r="F98" s="11" t="str">
        <f t="shared" si="7"/>
        <v>NA</v>
      </c>
      <c r="G98" s="11" t="e">
        <f t="shared" si="6"/>
        <v>#VALUE!</v>
      </c>
      <c r="H98" s="11">
        <v>10609.796875</v>
      </c>
      <c r="I98" s="11">
        <v>39680.31640625</v>
      </c>
      <c r="J98" s="14">
        <v>3.346088171005249</v>
      </c>
    </row>
    <row r="99" spans="1:10">
      <c r="A99" s="13" t="s">
        <v>99</v>
      </c>
      <c r="B99" s="10">
        <v>0.23043155670166016</v>
      </c>
      <c r="C99" s="10" t="str">
        <f>IF('Opioid Mortality - WONDER'!G97="Not Applicable","NA",'Opioid Mortality - WONDER'!$G97/100000)</f>
        <v>NA</v>
      </c>
      <c r="D99" s="22" t="str">
        <f t="shared" si="4"/>
        <v>NA</v>
      </c>
      <c r="E99" s="22" t="str">
        <f t="shared" si="5"/>
        <v>NA</v>
      </c>
      <c r="F99" s="11" t="str">
        <f t="shared" si="7"/>
        <v>NA</v>
      </c>
      <c r="G99" s="11" t="e">
        <f t="shared" si="6"/>
        <v>#VALUE!</v>
      </c>
      <c r="H99" s="11">
        <v>8282.3564453125</v>
      </c>
      <c r="I99" s="11">
        <v>29070.517578125</v>
      </c>
      <c r="J99" s="14">
        <v>3.1055335998535156</v>
      </c>
    </row>
    <row r="100" spans="1:10">
      <c r="A100" s="13" t="s">
        <v>100</v>
      </c>
      <c r="B100" s="10">
        <v>0.25106623768806458</v>
      </c>
      <c r="C100" s="10" t="str">
        <f>IF('Opioid Mortality - WONDER'!G98="Not Applicable","NA",'Opioid Mortality - WONDER'!$G98/100000)</f>
        <v>NA</v>
      </c>
      <c r="D100" s="22" t="str">
        <f t="shared" si="4"/>
        <v>NA</v>
      </c>
      <c r="E100" s="22" t="str">
        <f t="shared" si="5"/>
        <v>NA</v>
      </c>
      <c r="F100" s="11" t="str">
        <f t="shared" si="7"/>
        <v>NA</v>
      </c>
      <c r="G100" s="11" t="e">
        <f t="shared" si="6"/>
        <v>#VALUE!</v>
      </c>
      <c r="H100" s="11">
        <v>6299.515625</v>
      </c>
      <c r="I100" s="11">
        <v>20788.162109375</v>
      </c>
      <c r="J100" s="14">
        <v>2.8857076168060303</v>
      </c>
    </row>
    <row r="101" spans="1:10">
      <c r="A101" s="13" t="s">
        <v>101</v>
      </c>
      <c r="B101" s="10">
        <v>0.27239489555358887</v>
      </c>
      <c r="C101" s="10" t="str">
        <f>IF('Opioid Mortality - WONDER'!G99="Not Applicable","NA",'Opioid Mortality - WONDER'!$G99/100000)</f>
        <v>NA</v>
      </c>
      <c r="D101" s="22" t="str">
        <f t="shared" si="4"/>
        <v>NA</v>
      </c>
      <c r="E101" s="22" t="str">
        <f t="shared" si="5"/>
        <v>NA</v>
      </c>
      <c r="F101" s="11" t="str">
        <f t="shared" si="7"/>
        <v>NA</v>
      </c>
      <c r="G101" s="11" t="e">
        <f t="shared" si="6"/>
        <v>#VALUE!</v>
      </c>
      <c r="H101" s="11">
        <v>4660.3837890625</v>
      </c>
      <c r="I101" s="11">
        <v>14488.646484375</v>
      </c>
      <c r="J101" s="14">
        <v>2.6854720115661621</v>
      </c>
    </row>
    <row r="102" spans="1:10">
      <c r="A102" s="13" t="s">
        <v>102</v>
      </c>
      <c r="B102" s="10">
        <v>0.29425257444381714</v>
      </c>
      <c r="C102" s="10" t="str">
        <f>IF('Opioid Mortality - WONDER'!G100="Not Applicable","NA",'Opioid Mortality - WONDER'!$G100/100000)</f>
        <v>NA</v>
      </c>
      <c r="D102" s="22" t="str">
        <f t="shared" si="4"/>
        <v>NA</v>
      </c>
      <c r="E102" s="22" t="str">
        <f t="shared" si="5"/>
        <v>NA</v>
      </c>
      <c r="F102" s="11" t="str">
        <f t="shared" si="7"/>
        <v>NA</v>
      </c>
      <c r="G102" s="11" t="e">
        <f t="shared" si="6"/>
        <v>#VALUE!</v>
      </c>
      <c r="H102" s="11">
        <v>3348.01708984375</v>
      </c>
      <c r="I102" s="11">
        <v>9828.2626953125</v>
      </c>
      <c r="J102" s="14">
        <v>2.5036511421203613</v>
      </c>
    </row>
    <row r="103" spans="1:10">
      <c r="A103" s="13" t="s">
        <v>103</v>
      </c>
      <c r="B103" s="10">
        <v>0.31645643711090088</v>
      </c>
      <c r="C103" s="10" t="str">
        <f>IF('Opioid Mortality - WONDER'!G101="Not Applicable","NA",'Opioid Mortality - WONDER'!$G101/100000)</f>
        <v>NA</v>
      </c>
      <c r="D103" s="22" t="str">
        <f t="shared" si="4"/>
        <v>NA</v>
      </c>
      <c r="E103" s="22" t="str">
        <f t="shared" si="5"/>
        <v>NA</v>
      </c>
      <c r="F103" s="11" t="str">
        <f t="shared" si="7"/>
        <v>NA</v>
      </c>
      <c r="G103" s="11" t="e">
        <f t="shared" si="6"/>
        <v>#VALUE!</v>
      </c>
      <c r="H103" s="11">
        <v>2332.096923828125</v>
      </c>
      <c r="I103" s="11">
        <v>6480.24560546875</v>
      </c>
      <c r="J103" s="14">
        <v>2.3390486240386963</v>
      </c>
    </row>
    <row r="104" spans="1:10">
      <c r="A104" s="15" t="s">
        <v>0</v>
      </c>
      <c r="B104" s="16">
        <v>1</v>
      </c>
      <c r="C104" s="16" t="str">
        <f>IF('Opioid Mortality - WONDER'!G102="Not Applicable","NA",'Opioid Mortality - WONDER'!$G102/100000)</f>
        <v>NA</v>
      </c>
      <c r="D104" s="23" t="str">
        <f t="shared" si="4"/>
        <v>NA</v>
      </c>
      <c r="E104" s="23" t="str">
        <f t="shared" si="5"/>
        <v>NA</v>
      </c>
      <c r="F104" s="17" t="str">
        <f t="shared" si="7"/>
        <v>NA</v>
      </c>
      <c r="G104" s="17" t="e">
        <f t="shared" si="6"/>
        <v>#VALUE!</v>
      </c>
      <c r="H104" s="17">
        <v>4148.1484375</v>
      </c>
      <c r="I104" s="17">
        <v>4148.1484375</v>
      </c>
      <c r="J104" s="18">
        <v>2.1904628276824951</v>
      </c>
    </row>
  </sheetData>
  <mergeCells count="2">
    <mergeCell ref="A1:J1"/>
    <mergeCell ref="A2:A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5"/>
  <sheetViews>
    <sheetView tabSelected="1" zoomScale="130" zoomScaleNormal="130" workbookViewId="0">
      <pane xSplit="1" ySplit="3" topLeftCell="E4" activePane="bottomRight" state="frozen"/>
      <selection pane="topRight" activeCell="B1" sqref="B1"/>
      <selection pane="bottomLeft" activeCell="A4" sqref="A4"/>
      <selection pane="bottomRight" activeCell="R6" sqref="R6"/>
    </sheetView>
  </sheetViews>
  <sheetFormatPr baseColWidth="10" defaultColWidth="11.5" defaultRowHeight="15"/>
  <cols>
    <col min="1" max="1" width="16.1640625" customWidth="1"/>
    <col min="11" max="11" width="11.5" bestFit="1" customWidth="1"/>
  </cols>
  <sheetData>
    <row r="1" spans="1:18" ht="15" customHeight="1">
      <c r="A1" s="63" t="s">
        <v>3</v>
      </c>
      <c r="B1" s="63"/>
      <c r="C1" s="63"/>
      <c r="D1" s="63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8" ht="90">
      <c r="A2" s="61" t="s">
        <v>1</v>
      </c>
      <c r="B2" s="3" t="s">
        <v>104</v>
      </c>
      <c r="C2" s="3" t="s">
        <v>281</v>
      </c>
      <c r="D2" s="3" t="s">
        <v>282</v>
      </c>
      <c r="E2" s="3" t="s">
        <v>283</v>
      </c>
      <c r="F2" s="4" t="s">
        <v>295</v>
      </c>
      <c r="G2" s="4" t="s">
        <v>312</v>
      </c>
      <c r="H2" s="4" t="s">
        <v>105</v>
      </c>
      <c r="I2" s="4" t="s">
        <v>107</v>
      </c>
      <c r="J2" s="4" t="s">
        <v>303</v>
      </c>
      <c r="K2" s="4" t="s">
        <v>292</v>
      </c>
      <c r="L2" s="4" t="s">
        <v>108</v>
      </c>
      <c r="M2" s="4" t="s">
        <v>300</v>
      </c>
      <c r="N2" s="39" t="s">
        <v>109</v>
      </c>
      <c r="O2" s="36" t="s">
        <v>302</v>
      </c>
      <c r="P2" s="44" t="s">
        <v>307</v>
      </c>
      <c r="Q2" s="57" t="s">
        <v>310</v>
      </c>
    </row>
    <row r="3" spans="1:18" ht="17">
      <c r="A3" s="62"/>
      <c r="B3" s="6" t="s">
        <v>278</v>
      </c>
      <c r="C3" s="6" t="s">
        <v>279</v>
      </c>
      <c r="D3" s="6" t="s">
        <v>280</v>
      </c>
      <c r="E3" s="6" t="s">
        <v>284</v>
      </c>
      <c r="F3" s="7" t="s">
        <v>296</v>
      </c>
      <c r="G3" s="7" t="s">
        <v>297</v>
      </c>
      <c r="H3" s="7" t="s">
        <v>111</v>
      </c>
      <c r="I3" s="7" t="s">
        <v>113</v>
      </c>
      <c r="J3" s="7" t="s">
        <v>304</v>
      </c>
      <c r="K3" s="7" t="s">
        <v>293</v>
      </c>
      <c r="L3" s="7" t="s">
        <v>114</v>
      </c>
      <c r="M3" s="7" t="s">
        <v>299</v>
      </c>
      <c r="N3" s="40" t="s">
        <v>115</v>
      </c>
      <c r="O3" s="45" t="s">
        <v>301</v>
      </c>
      <c r="P3" s="40" t="s">
        <v>314</v>
      </c>
    </row>
    <row r="4" spans="1:18">
      <c r="A4" s="9" t="s">
        <v>4</v>
      </c>
      <c r="B4" s="10">
        <v>5.7769683189690113E-3</v>
      </c>
      <c r="C4" s="10">
        <f>'Opioid Mortality - WONDER'!H2/100000</f>
        <v>4.8231980595512648E-6</v>
      </c>
      <c r="D4" s="10">
        <f>B4-C4</f>
        <v>5.7721451209094598E-3</v>
      </c>
      <c r="E4" s="22">
        <f>1-(1-B4)^(D4/B4)</f>
        <v>5.7721590679145063E-3</v>
      </c>
      <c r="F4" s="11">
        <v>100000</v>
      </c>
      <c r="G4" s="11">
        <f>F4*E4</f>
        <v>577.21590679145061</v>
      </c>
      <c r="H4" s="11">
        <v>100000</v>
      </c>
      <c r="I4" s="11">
        <v>99493.359375</v>
      </c>
      <c r="J4" s="34">
        <v>0.123</v>
      </c>
      <c r="K4" s="11">
        <f>J4*F4+(1-J4)*F5</f>
        <v>99493.781649743905</v>
      </c>
      <c r="L4" s="11">
        <v>7860752</v>
      </c>
      <c r="M4" s="11">
        <f>SUM(K4:K$89)</f>
        <v>7902675.6804915667</v>
      </c>
      <c r="N4" s="41">
        <v>78.607521057128906</v>
      </c>
      <c r="O4" s="46">
        <f>M4/F4</f>
        <v>79.026756804915664</v>
      </c>
      <c r="P4" s="37">
        <f>(O4-N4)*365.25</f>
        <v>153.12585687911314</v>
      </c>
      <c r="Q4" s="66">
        <f>P4-'Cohort Method (Elliot''s paper) '!P4</f>
        <v>-5.5132946272351546E-5</v>
      </c>
    </row>
    <row r="5" spans="1:18">
      <c r="A5" s="13" t="s">
        <v>5</v>
      </c>
      <c r="B5" s="10">
        <v>3.818386176135391E-4</v>
      </c>
      <c r="C5" s="10">
        <f>'Opioid Mortality - WONDER'!H3/100000</f>
        <v>4.0249020691015313E-6</v>
      </c>
      <c r="D5" s="10">
        <f t="shared" ref="D5:D68" si="0">B5-C5</f>
        <v>3.7781371554443757E-4</v>
      </c>
      <c r="E5" s="22">
        <f t="shared" ref="E5:E68" si="1">1-(1-B5)^(D5/B5)</f>
        <v>3.7781447597384776E-4</v>
      </c>
      <c r="F5" s="11">
        <f>F4*(1-E4)</f>
        <v>99422.784093208553</v>
      </c>
      <c r="G5" s="11">
        <f t="shared" ref="G5:G68" si="2">F5*E5</f>
        <v>37.563367072036598</v>
      </c>
      <c r="H5" s="11">
        <v>99422.3046875</v>
      </c>
      <c r="I5" s="11">
        <v>99403.328125</v>
      </c>
      <c r="J5" s="34"/>
      <c r="K5" s="11">
        <f>1*(F5-G5)+0.5*1*G5</f>
        <v>99404.002409672525</v>
      </c>
      <c r="L5" s="11">
        <v>7761258.5</v>
      </c>
      <c r="M5" s="11">
        <f>SUM(K5:K$89)</f>
        <v>7803181.8988418225</v>
      </c>
      <c r="N5" s="42">
        <v>78.063552856445312</v>
      </c>
      <c r="O5" s="46">
        <f t="shared" ref="O5:O35" si="3">M5/F5</f>
        <v>78.484846003973928</v>
      </c>
      <c r="P5" s="37">
        <f t="shared" ref="P5:P68" si="4">(O5-N5)*365.25</f>
        <v>153.87732213482678</v>
      </c>
      <c r="Q5" s="66">
        <f>P5-'Cohort Method (Elliot''s paper) '!P5</f>
        <v>-6.2192129291815945E-5</v>
      </c>
      <c r="R5" s="24"/>
    </row>
    <row r="6" spans="1:18">
      <c r="A6" s="13" t="s">
        <v>6</v>
      </c>
      <c r="B6" s="10">
        <v>2.4839455727487803E-4</v>
      </c>
      <c r="C6" s="10">
        <f>'Opioid Mortality - WONDER'!H4/100000</f>
        <v>9.9458572396516457E-7</v>
      </c>
      <c r="D6" s="10">
        <f t="shared" si="0"/>
        <v>2.4739997155091283E-4</v>
      </c>
      <c r="E6" s="22">
        <f t="shared" si="1"/>
        <v>2.4740009459134349E-4</v>
      </c>
      <c r="F6" s="11">
        <f t="shared" ref="F6:F69" si="5">F5*(1-E5)</f>
        <v>99385.220726136511</v>
      </c>
      <c r="G6" s="11">
        <f t="shared" si="2"/>
        <v>24.587913008627723</v>
      </c>
      <c r="H6" s="11">
        <v>99384.34375</v>
      </c>
      <c r="I6" s="11">
        <v>99372</v>
      </c>
      <c r="J6" s="34"/>
      <c r="K6" s="11">
        <f t="shared" ref="K6:K36" si="6">1*(F6-G6)+0.5*1*G6</f>
        <v>99372.926769632206</v>
      </c>
      <c r="L6" s="11">
        <v>7661855</v>
      </c>
      <c r="M6" s="11">
        <f>SUM(K6:K$89)</f>
        <v>7703777.8964321502</v>
      </c>
      <c r="N6" s="42">
        <v>77.093177795410156</v>
      </c>
      <c r="O6" s="46">
        <f t="shared" si="3"/>
        <v>77.514320943759756</v>
      </c>
      <c r="P6" s="37">
        <f t="shared" si="4"/>
        <v>153.82253493469139</v>
      </c>
      <c r="Q6" s="66">
        <f>P6-'Cohort Method (Elliot''s paper) '!P6</f>
        <v>-4.8010153477662243E-5</v>
      </c>
    </row>
    <row r="7" spans="1:18">
      <c r="A7" s="13" t="s">
        <v>7</v>
      </c>
      <c r="B7" s="10">
        <v>1.928160636452958E-4</v>
      </c>
      <c r="C7" s="10">
        <f>'Opioid Mortality - WONDER'!H5/100000</f>
        <v>9.983140970685754E-7</v>
      </c>
      <c r="D7" s="10">
        <f t="shared" si="0"/>
        <v>1.9181774954822722E-4</v>
      </c>
      <c r="E7" s="22">
        <f t="shared" si="1"/>
        <v>1.9181784530164503E-4</v>
      </c>
      <c r="F7" s="11">
        <f t="shared" si="5"/>
        <v>99360.632813127886</v>
      </c>
      <c r="G7" s="11">
        <f t="shared" si="2"/>
        <v>19.059142494022119</v>
      </c>
      <c r="H7" s="11">
        <v>99359.65625</v>
      </c>
      <c r="I7" s="11">
        <v>99350.078125</v>
      </c>
      <c r="J7" s="34"/>
      <c r="K7" s="11">
        <f t="shared" si="6"/>
        <v>99351.103241880875</v>
      </c>
      <c r="L7" s="11">
        <v>7562483</v>
      </c>
      <c r="M7" s="11">
        <f>SUM(K7:K$89)</f>
        <v>7604404.9696625173</v>
      </c>
      <c r="N7" s="42">
        <v>76.112213134765625</v>
      </c>
      <c r="O7" s="46">
        <f t="shared" si="3"/>
        <v>76.533379009013274</v>
      </c>
      <c r="P7" s="37">
        <f t="shared" si="4"/>
        <v>153.83083556895369</v>
      </c>
      <c r="Q7" s="66">
        <f>P7-'Cohort Method (Elliot''s paper) '!P7</f>
        <v>-4.8022029403682609E-5</v>
      </c>
    </row>
    <row r="8" spans="1:18">
      <c r="A8" s="13" t="s">
        <v>8</v>
      </c>
      <c r="B8" s="10">
        <v>1.4872249448671937E-4</v>
      </c>
      <c r="C8" s="10">
        <f>'Opioid Mortality - WONDER'!H6/100000</f>
        <v>5.0052768130801893E-7</v>
      </c>
      <c r="D8" s="10">
        <f t="shared" si="0"/>
        <v>1.4822196680541134E-4</v>
      </c>
      <c r="E8" s="22">
        <f t="shared" si="1"/>
        <v>1.4822200390185447E-4</v>
      </c>
      <c r="F8" s="11">
        <f t="shared" si="5"/>
        <v>99341.573670633865</v>
      </c>
      <c r="G8" s="11">
        <f t="shared" si="2"/>
        <v>14.724607120225055</v>
      </c>
      <c r="H8" s="11">
        <v>99340.5</v>
      </c>
      <c r="I8" s="11">
        <v>99333.109375</v>
      </c>
      <c r="J8" s="34"/>
      <c r="K8" s="11">
        <f t="shared" si="6"/>
        <v>99334.21136707376</v>
      </c>
      <c r="L8" s="11">
        <v>7463133</v>
      </c>
      <c r="M8" s="11">
        <f>SUM(K8:K$89)</f>
        <v>7505053.866420636</v>
      </c>
      <c r="N8" s="42">
        <v>75.126792907714844</v>
      </c>
      <c r="O8" s="46">
        <f t="shared" si="3"/>
        <v>75.547966366061175</v>
      </c>
      <c r="P8" s="37">
        <f t="shared" si="4"/>
        <v>153.83360566099745</v>
      </c>
      <c r="Q8" s="66">
        <f>P8-'Cohort Method (Elliot''s paper) '!P8</f>
        <v>-4.8031247729340976E-5</v>
      </c>
    </row>
    <row r="9" spans="1:18">
      <c r="A9" s="13" t="s">
        <v>9</v>
      </c>
      <c r="B9" s="10">
        <v>1.4088257739786059E-4</v>
      </c>
      <c r="C9" s="10">
        <f>'Opioid Mortality - WONDER'!H7/100000</f>
        <v>0</v>
      </c>
      <c r="D9" s="10">
        <f t="shared" si="0"/>
        <v>1.4088257739786059E-4</v>
      </c>
      <c r="E9" s="22">
        <f t="shared" si="1"/>
        <v>1.4088257739786059E-4</v>
      </c>
      <c r="F9" s="11">
        <f t="shared" si="5"/>
        <v>99326.84906351364</v>
      </c>
      <c r="G9" s="11">
        <f t="shared" si="2"/>
        <v>13.993422500876077</v>
      </c>
      <c r="H9" s="11">
        <v>99325.7265625</v>
      </c>
      <c r="I9" s="11">
        <v>99318.734375</v>
      </c>
      <c r="J9" s="34"/>
      <c r="K9" s="11">
        <f t="shared" si="6"/>
        <v>99319.852352263202</v>
      </c>
      <c r="L9" s="11">
        <v>7363800</v>
      </c>
      <c r="M9" s="11">
        <f>SUM(K9:K$89)</f>
        <v>7405719.6550535616</v>
      </c>
      <c r="N9" s="42">
        <v>74.137893676757812</v>
      </c>
      <c r="O9" s="46">
        <f t="shared" si="3"/>
        <v>74.559091775055123</v>
      </c>
      <c r="P9" s="37">
        <f t="shared" si="4"/>
        <v>153.84260540309256</v>
      </c>
      <c r="Q9" s="66">
        <f>P9-'Cohort Method (Elliot''s paper) '!P9</f>
        <v>-6.2355158178206693E-5</v>
      </c>
    </row>
    <row r="10" spans="1:18">
      <c r="A10" s="13" t="s">
        <v>10</v>
      </c>
      <c r="B10" s="10">
        <v>1.2598109606187791E-4</v>
      </c>
      <c r="C10" s="10">
        <f>'Opioid Mortality - WONDER'!H8/100000</f>
        <v>4.9437255718160181E-7</v>
      </c>
      <c r="D10" s="10">
        <f t="shared" si="0"/>
        <v>1.254867235046963E-4</v>
      </c>
      <c r="E10" s="22">
        <f t="shared" si="1"/>
        <v>1.2548675452461744E-4</v>
      </c>
      <c r="F10" s="11">
        <f t="shared" si="5"/>
        <v>99312.855641012764</v>
      </c>
      <c r="G10" s="11">
        <f t="shared" si="2"/>
        <v>12.462447936962537</v>
      </c>
      <c r="H10" s="11">
        <v>99311.734375</v>
      </c>
      <c r="I10" s="11">
        <v>99305.484375</v>
      </c>
      <c r="J10" s="34"/>
      <c r="K10" s="11">
        <f t="shared" si="6"/>
        <v>99306.624417044281</v>
      </c>
      <c r="L10" s="11">
        <v>7264481</v>
      </c>
      <c r="M10" s="11">
        <f>SUM(K10:K$89)</f>
        <v>7306399.8027013</v>
      </c>
      <c r="N10" s="42">
        <v>73.148262023925781</v>
      </c>
      <c r="O10" s="46">
        <f t="shared" si="3"/>
        <v>73.569526880908768</v>
      </c>
      <c r="P10" s="37">
        <f t="shared" si="4"/>
        <v>153.86698901303589</v>
      </c>
      <c r="Q10" s="66">
        <f>P10-'Cohort Method (Elliot''s paper) '!P10</f>
        <v>-4.7996372643410723E-5</v>
      </c>
    </row>
    <row r="11" spans="1:18">
      <c r="A11" s="13" t="s">
        <v>11</v>
      </c>
      <c r="B11" s="10">
        <v>1.1421359522501007E-4</v>
      </c>
      <c r="C11" s="10">
        <f>'Opioid Mortality - WONDER'!H9/100000</f>
        <v>0</v>
      </c>
      <c r="D11" s="10">
        <f t="shared" si="0"/>
        <v>1.1421359522501007E-4</v>
      </c>
      <c r="E11" s="22">
        <f t="shared" si="1"/>
        <v>1.1421359522501007E-4</v>
      </c>
      <c r="F11" s="11">
        <f t="shared" si="5"/>
        <v>99300.393193075797</v>
      </c>
      <c r="G11" s="11">
        <f t="shared" si="2"/>
        <v>11.341454913838303</v>
      </c>
      <c r="H11" s="11">
        <v>99299.2265625</v>
      </c>
      <c r="I11" s="11">
        <v>99293.5546875</v>
      </c>
      <c r="J11" s="34"/>
      <c r="K11" s="11">
        <f t="shared" si="6"/>
        <v>99294.722465618877</v>
      </c>
      <c r="L11" s="11">
        <v>7165175.5</v>
      </c>
      <c r="M11" s="11">
        <f>SUM(K11:K$89)</f>
        <v>7207093.1782842539</v>
      </c>
      <c r="N11" s="42">
        <v>72.157417297363281</v>
      </c>
      <c r="O11" s="46">
        <f t="shared" si="3"/>
        <v>72.578697289456485</v>
      </c>
      <c r="P11" s="37">
        <f t="shared" si="4"/>
        <v>153.87251711204283</v>
      </c>
      <c r="Q11" s="66">
        <f>P11-'Cohort Method (Elliot''s paper) '!P11</f>
        <v>-3.3686424728784914E-5</v>
      </c>
    </row>
    <row r="12" spans="1:18">
      <c r="A12" s="13" t="s">
        <v>12</v>
      </c>
      <c r="B12" s="10">
        <v>1.0369524534326047E-4</v>
      </c>
      <c r="C12" s="10">
        <f>'Opioid Mortality - WONDER'!H10/100000</f>
        <v>2.4735099452414368E-7</v>
      </c>
      <c r="D12" s="10">
        <f t="shared" si="0"/>
        <v>1.0344789434873632E-4</v>
      </c>
      <c r="E12" s="22">
        <f t="shared" si="1"/>
        <v>1.0344790714311713E-4</v>
      </c>
      <c r="F12" s="11">
        <f t="shared" si="5"/>
        <v>99289.051738161957</v>
      </c>
      <c r="G12" s="11">
        <f t="shared" si="2"/>
        <v>10.271244604537531</v>
      </c>
      <c r="H12" s="11">
        <v>99287.8828125</v>
      </c>
      <c r="I12" s="11">
        <v>99282.734375</v>
      </c>
      <c r="J12" s="34"/>
      <c r="K12" s="11">
        <f t="shared" si="6"/>
        <v>99283.916115859698</v>
      </c>
      <c r="L12" s="11">
        <v>7065882</v>
      </c>
      <c r="M12" s="11">
        <f>SUM(K12:K$89)</f>
        <v>7107798.4558186345</v>
      </c>
      <c r="N12" s="42">
        <v>71.165603637695312</v>
      </c>
      <c r="O12" s="46">
        <f t="shared" si="3"/>
        <v>71.586930596968699</v>
      </c>
      <c r="P12" s="37">
        <f t="shared" si="4"/>
        <v>153.88967187460446</v>
      </c>
      <c r="Q12" s="66">
        <f>P12-'Cohort Method (Elliot''s paper) '!P12</f>
        <v>-3.3690270896613583E-5</v>
      </c>
    </row>
    <row r="13" spans="1:18">
      <c r="A13" s="13" t="s">
        <v>13</v>
      </c>
      <c r="B13" s="10">
        <v>9.5351926574949175E-5</v>
      </c>
      <c r="C13" s="10">
        <f>'Opioid Mortality - WONDER'!H11/100000</f>
        <v>0</v>
      </c>
      <c r="D13" s="10">
        <f t="shared" si="0"/>
        <v>9.5351926574949175E-5</v>
      </c>
      <c r="E13" s="22">
        <f t="shared" si="1"/>
        <v>9.5351926574949175E-5</v>
      </c>
      <c r="F13" s="11">
        <f t="shared" si="5"/>
        <v>99278.780493557424</v>
      </c>
      <c r="G13" s="11">
        <f t="shared" si="2"/>
        <v>9.4664229880721837</v>
      </c>
      <c r="H13" s="11">
        <v>99277.5859375</v>
      </c>
      <c r="I13" s="11">
        <v>99272.8515625</v>
      </c>
      <c r="J13" s="34"/>
      <c r="K13" s="11">
        <f t="shared" si="6"/>
        <v>99274.047282063388</v>
      </c>
      <c r="L13" s="11">
        <v>6966599.5</v>
      </c>
      <c r="M13" s="11">
        <f>SUM(K13:K$89)</f>
        <v>7008514.539702775</v>
      </c>
      <c r="N13" s="42">
        <v>70.172935485839844</v>
      </c>
      <c r="O13" s="46">
        <f t="shared" si="3"/>
        <v>70.594285151977502</v>
      </c>
      <c r="P13" s="37">
        <f t="shared" si="4"/>
        <v>153.89796555677964</v>
      </c>
      <c r="Q13" s="66">
        <f>P13-'Cohort Method (Elliot''s paper) '!P13</f>
        <v>-3.369375892248172E-5</v>
      </c>
    </row>
    <row r="14" spans="1:18">
      <c r="A14" s="13" t="s">
        <v>14</v>
      </c>
      <c r="B14" s="10">
        <v>9.3017973995301872E-5</v>
      </c>
      <c r="C14" s="10">
        <f>'Opioid Mortality - WONDER'!H12/100000</f>
        <v>4.7710845557845936E-7</v>
      </c>
      <c r="D14" s="10">
        <f t="shared" si="0"/>
        <v>9.2540865539723408E-5</v>
      </c>
      <c r="E14" s="22">
        <f t="shared" si="1"/>
        <v>9.2540887616454626E-5</v>
      </c>
      <c r="F14" s="11">
        <f t="shared" si="5"/>
        <v>99269.314070569351</v>
      </c>
      <c r="G14" s="11">
        <f t="shared" si="2"/>
        <v>9.1864704371670953</v>
      </c>
      <c r="H14" s="11">
        <v>99268.1171875</v>
      </c>
      <c r="I14" s="11">
        <v>99263.5</v>
      </c>
      <c r="J14" s="34"/>
      <c r="K14" s="11">
        <f t="shared" si="6"/>
        <v>99264.720835350759</v>
      </c>
      <c r="L14" s="11">
        <v>6867326.5</v>
      </c>
      <c r="M14" s="11">
        <f>SUM(K14:K$89)</f>
        <v>6909240.4924207125</v>
      </c>
      <c r="N14" s="42">
        <v>69.179580688476562</v>
      </c>
      <c r="O14" s="46">
        <f t="shared" si="3"/>
        <v>69.600969414465951</v>
      </c>
      <c r="P14" s="37">
        <f t="shared" si="4"/>
        <v>153.91223216762398</v>
      </c>
      <c r="Q14" s="66">
        <f>P14-'Cohort Method (Elliot''s paper) '!P14</f>
        <v>-3.3696961480700338E-5</v>
      </c>
    </row>
    <row r="15" spans="1:18">
      <c r="A15" s="13" t="s">
        <v>15</v>
      </c>
      <c r="B15" s="10">
        <v>1.0298151755705476E-4</v>
      </c>
      <c r="C15" s="10">
        <f>'Opioid Mortality - WONDER'!H13/100000</f>
        <v>4.81004876908447E-7</v>
      </c>
      <c r="D15" s="10">
        <f t="shared" si="0"/>
        <v>1.0250051268014631E-4</v>
      </c>
      <c r="E15" s="22">
        <f t="shared" si="1"/>
        <v>1.0250053733262821E-4</v>
      </c>
      <c r="F15" s="11">
        <f t="shared" si="5"/>
        <v>99260.127600132182</v>
      </c>
      <c r="G15" s="11">
        <f t="shared" si="2"/>
        <v>10.174216414718789</v>
      </c>
      <c r="H15" s="11">
        <v>99258.8828125</v>
      </c>
      <c r="I15" s="11">
        <v>99253.7734375</v>
      </c>
      <c r="J15" s="34"/>
      <c r="K15" s="11">
        <f t="shared" si="6"/>
        <v>99255.040491924825</v>
      </c>
      <c r="L15" s="11">
        <v>6768063</v>
      </c>
      <c r="M15" s="11">
        <f>SUM(K15:K$89)</f>
        <v>6809975.7715853602</v>
      </c>
      <c r="N15" s="42">
        <v>68.185966491699219</v>
      </c>
      <c r="O15" s="46">
        <f t="shared" si="3"/>
        <v>68.607364671333457</v>
      </c>
      <c r="P15" s="37">
        <f t="shared" si="4"/>
        <v>153.91568511140545</v>
      </c>
      <c r="Q15" s="66">
        <f>P15-'Cohort Method (Elliot''s paper) '!P15</f>
        <v>-3.3700091364607943E-5</v>
      </c>
    </row>
    <row r="16" spans="1:18">
      <c r="A16" s="13" t="s">
        <v>16</v>
      </c>
      <c r="B16" s="10">
        <v>1.3252763892523944E-4</v>
      </c>
      <c r="C16" s="10">
        <f>'Opioid Mortality - WONDER'!H14/100000</f>
        <v>1.2059953405164023E-6</v>
      </c>
      <c r="D16" s="10">
        <f t="shared" si="0"/>
        <v>1.3132164358472303E-4</v>
      </c>
      <c r="E16" s="22">
        <f t="shared" si="1"/>
        <v>1.3132172277485754E-4</v>
      </c>
      <c r="F16" s="11">
        <f t="shared" si="5"/>
        <v>99249.953383717468</v>
      </c>
      <c r="G16" s="11">
        <f t="shared" si="2"/>
        <v>13.033674863674079</v>
      </c>
      <c r="H16" s="11">
        <v>99248.6640625</v>
      </c>
      <c r="I16" s="11">
        <v>99242.0859375</v>
      </c>
      <c r="J16" s="34"/>
      <c r="K16" s="11">
        <f t="shared" si="6"/>
        <v>99243.436546285622</v>
      </c>
      <c r="L16" s="11">
        <v>6668809</v>
      </c>
      <c r="M16" s="11">
        <f>SUM(K16:K$89)</f>
        <v>6710720.7310934365</v>
      </c>
      <c r="N16" s="42">
        <v>67.19293212890625</v>
      </c>
      <c r="O16" s="46">
        <f t="shared" si="3"/>
        <v>67.614346428442445</v>
      </c>
      <c r="P16" s="37">
        <f t="shared" si="4"/>
        <v>153.92157290559535</v>
      </c>
      <c r="Q16" s="66">
        <f>P16-'Cohort Method (Elliot''s paper) '!P16</f>
        <v>-3.3703537866358602E-5</v>
      </c>
    </row>
    <row r="17" spans="1:17">
      <c r="A17" s="13" t="s">
        <v>17</v>
      </c>
      <c r="B17" s="10">
        <v>1.858931063907221E-4</v>
      </c>
      <c r="C17" s="10">
        <f>'Opioid Mortality - WONDER'!H15/100000</f>
        <v>1.6845894956218722E-6</v>
      </c>
      <c r="D17" s="10">
        <f t="shared" si="0"/>
        <v>1.8420851689510023E-4</v>
      </c>
      <c r="E17" s="22">
        <f t="shared" si="1"/>
        <v>1.8420867206270231E-4</v>
      </c>
      <c r="F17" s="11">
        <f t="shared" si="5"/>
        <v>99236.919708853791</v>
      </c>
      <c r="G17" s="11">
        <f t="shared" si="2"/>
        <v>18.280301199160967</v>
      </c>
      <c r="H17" s="11">
        <v>99235.5078125</v>
      </c>
      <c r="I17" s="11">
        <v>99226.28125</v>
      </c>
      <c r="J17" s="34"/>
      <c r="K17" s="11">
        <f t="shared" si="6"/>
        <v>99227.779558254202</v>
      </c>
      <c r="L17" s="11">
        <v>6569567</v>
      </c>
      <c r="M17" s="11">
        <f>SUM(K17:K$89)</f>
        <v>6611477.2945471518</v>
      </c>
      <c r="N17" s="42">
        <v>66.201774597167969</v>
      </c>
      <c r="O17" s="46">
        <f t="shared" si="3"/>
        <v>66.623161157603775</v>
      </c>
      <c r="P17" s="37">
        <f t="shared" si="4"/>
        <v>153.91144119917823</v>
      </c>
      <c r="Q17" s="66">
        <f>P17-'Cohort Method (Elliot''s paper) '!P17</f>
        <v>-3.3707960170659135E-5</v>
      </c>
    </row>
    <row r="18" spans="1:17">
      <c r="A18" s="13" t="s">
        <v>18</v>
      </c>
      <c r="B18" s="10">
        <v>2.5830889353528619E-4</v>
      </c>
      <c r="C18" s="10">
        <f>'Opioid Mortality - WONDER'!H16/100000</f>
        <v>3.6343328152389999E-6</v>
      </c>
      <c r="D18" s="10">
        <f t="shared" si="0"/>
        <v>2.546745607200472E-4</v>
      </c>
      <c r="E18" s="22">
        <f t="shared" si="1"/>
        <v>2.5467502354648008E-4</v>
      </c>
      <c r="F18" s="11">
        <f t="shared" si="5"/>
        <v>99218.639407654628</v>
      </c>
      <c r="G18" s="11">
        <f t="shared" si="2"/>
        <v>25.26850932739416</v>
      </c>
      <c r="H18" s="11">
        <v>99217.0625</v>
      </c>
      <c r="I18" s="11">
        <v>99204.25</v>
      </c>
      <c r="J18" s="34"/>
      <c r="K18" s="11">
        <f t="shared" si="6"/>
        <v>99206.00515299094</v>
      </c>
      <c r="L18" s="11">
        <v>6470341</v>
      </c>
      <c r="M18" s="11">
        <f>SUM(K18:K$89)</f>
        <v>6512249.5149888955</v>
      </c>
      <c r="N18" s="42">
        <v>65.213996887207031</v>
      </c>
      <c r="O18" s="46">
        <f t="shared" si="3"/>
        <v>65.635343861472876</v>
      </c>
      <c r="P18" s="37">
        <f t="shared" si="4"/>
        <v>153.89698235059976</v>
      </c>
      <c r="Q18" s="66">
        <f>P18-'Cohort Method (Elliot''s paper) '!P18</f>
        <v>-4.7965473555677818E-5</v>
      </c>
    </row>
    <row r="19" spans="1:17">
      <c r="A19" s="13" t="s">
        <v>19</v>
      </c>
      <c r="B19" s="10">
        <v>3.3830752363428473E-4</v>
      </c>
      <c r="C19" s="10">
        <f>'Opioid Mortality - WONDER'!H17/100000</f>
        <v>3.4025509410483745E-6</v>
      </c>
      <c r="D19" s="10">
        <f t="shared" si="0"/>
        <v>3.3490497269323636E-4</v>
      </c>
      <c r="E19" s="22">
        <f t="shared" si="1"/>
        <v>3.3490554252380011E-4</v>
      </c>
      <c r="F19" s="11">
        <f t="shared" si="5"/>
        <v>99193.370898327237</v>
      </c>
      <c r="G19" s="11">
        <f t="shared" si="2"/>
        <v>33.22040969546881</v>
      </c>
      <c r="H19" s="11">
        <v>99191.4375</v>
      </c>
      <c r="I19" s="11">
        <v>99174.65625</v>
      </c>
      <c r="J19" s="34"/>
      <c r="K19" s="11">
        <f t="shared" si="6"/>
        <v>99176.760693479504</v>
      </c>
      <c r="L19" s="11">
        <v>6371136.5</v>
      </c>
      <c r="M19" s="11">
        <f>SUM(K19:K$89)</f>
        <v>6413043.5098359045</v>
      </c>
      <c r="N19" s="42">
        <v>64.230712890625</v>
      </c>
      <c r="O19" s="46">
        <f t="shared" si="3"/>
        <v>64.651936432417898</v>
      </c>
      <c r="P19" s="37">
        <f t="shared" si="4"/>
        <v>153.85189863985599</v>
      </c>
      <c r="Q19" s="66">
        <f>P19-'Cohort Method (Elliot''s paper) '!P19</f>
        <v>-4.7977692020140239E-5</v>
      </c>
    </row>
    <row r="20" spans="1:17">
      <c r="A20" s="13" t="s">
        <v>20</v>
      </c>
      <c r="B20" s="10">
        <v>4.2072634096257389E-4</v>
      </c>
      <c r="C20" s="10">
        <f>'Opioid Mortality - WONDER'!H18/100000</f>
        <v>4.499500437043582E-6</v>
      </c>
      <c r="D20" s="10">
        <f t="shared" si="0"/>
        <v>4.1622684052553032E-4</v>
      </c>
      <c r="E20" s="22">
        <f t="shared" si="1"/>
        <v>4.1622777706473713E-4</v>
      </c>
      <c r="F20" s="11">
        <f t="shared" si="5"/>
        <v>99160.150488631771</v>
      </c>
      <c r="G20" s="11">
        <f t="shared" si="2"/>
        <v>41.27320901128801</v>
      </c>
      <c r="H20" s="11">
        <v>99157.8828125</v>
      </c>
      <c r="I20" s="11">
        <v>99137.0234375</v>
      </c>
      <c r="J20" s="34"/>
      <c r="K20" s="11">
        <f t="shared" si="6"/>
        <v>99139.513884126136</v>
      </c>
      <c r="L20" s="11">
        <v>6271962</v>
      </c>
      <c r="M20" s="11">
        <f>SUM(K20:K$89)</f>
        <v>6313866.7491424251</v>
      </c>
      <c r="N20" s="42">
        <v>63.252277374267578</v>
      </c>
      <c r="O20" s="46">
        <f t="shared" si="3"/>
        <v>63.673428469295025</v>
      </c>
      <c r="P20" s="37">
        <f t="shared" si="4"/>
        <v>153.82543745877513</v>
      </c>
      <c r="Q20" s="66">
        <f>P20-'Cohort Method (Elliot''s paper) '!P20</f>
        <v>-6.2238846510354051E-5</v>
      </c>
    </row>
    <row r="21" spans="1:17">
      <c r="A21" s="13" t="s">
        <v>21</v>
      </c>
      <c r="B21" s="10">
        <v>5.0969421863555908E-4</v>
      </c>
      <c r="C21" s="10">
        <f>'Opioid Mortality - WONDER'!H19/100000</f>
        <v>1.49E-5</v>
      </c>
      <c r="D21" s="10">
        <f t="shared" si="0"/>
        <v>4.947942186355591E-4</v>
      </c>
      <c r="E21" s="22">
        <f t="shared" si="1"/>
        <v>4.9479790549722402E-4</v>
      </c>
      <c r="F21" s="11">
        <f t="shared" si="5"/>
        <v>99118.877279620487</v>
      </c>
      <c r="G21" s="11">
        <f t="shared" si="2"/>
        <v>49.0438128731926</v>
      </c>
      <c r="H21" s="11">
        <v>99116.1640625</v>
      </c>
      <c r="I21" s="11">
        <v>99090.90625</v>
      </c>
      <c r="J21" s="34"/>
      <c r="K21" s="11">
        <f t="shared" si="6"/>
        <v>99094.355373183891</v>
      </c>
      <c r="L21" s="11">
        <v>6172825</v>
      </c>
      <c r="M21" s="11">
        <f>SUM(K21:K$89)</f>
        <v>6214727.2352582999</v>
      </c>
      <c r="N21" s="42">
        <v>62.278690338134766</v>
      </c>
      <c r="O21" s="46">
        <f t="shared" si="3"/>
        <v>62.699733954069814</v>
      </c>
      <c r="P21" s="37">
        <f t="shared" si="4"/>
        <v>153.78618072027626</v>
      </c>
      <c r="Q21" s="66">
        <f>P21-'Cohort Method (Elliot''s paper) '!P21</f>
        <v>-6.2264762732411327E-5</v>
      </c>
    </row>
    <row r="22" spans="1:17">
      <c r="A22" s="13" t="s">
        <v>22</v>
      </c>
      <c r="B22" s="10">
        <v>6.031306111253798E-4</v>
      </c>
      <c r="C22" s="10">
        <f>'Opioid Mortality - WONDER'!H20/100000</f>
        <v>3.277E-5</v>
      </c>
      <c r="D22" s="10">
        <f t="shared" si="0"/>
        <v>5.703606111253798E-4</v>
      </c>
      <c r="E22" s="22">
        <f t="shared" si="1"/>
        <v>5.7036995846548866E-4</v>
      </c>
      <c r="F22" s="11">
        <f t="shared" si="5"/>
        <v>99069.833466747295</v>
      </c>
      <c r="G22" s="11">
        <f t="shared" si="2"/>
        <v>56.506456799611534</v>
      </c>
      <c r="H22" s="11">
        <v>99065.6484375</v>
      </c>
      <c r="I22" s="11">
        <v>99035.7734375</v>
      </c>
      <c r="J22" s="34"/>
      <c r="K22" s="11">
        <f t="shared" si="6"/>
        <v>99041.58023834748</v>
      </c>
      <c r="L22" s="11">
        <v>6073734</v>
      </c>
      <c r="M22" s="11">
        <f>SUM(K22:K$89)</f>
        <v>6115632.8798851147</v>
      </c>
      <c r="N22" s="42">
        <v>61.310192108154297</v>
      </c>
      <c r="O22" s="46">
        <f t="shared" si="3"/>
        <v>61.730525487739129</v>
      </c>
      <c r="P22" s="37">
        <f t="shared" si="4"/>
        <v>153.52676689335999</v>
      </c>
      <c r="Q22" s="66">
        <f>P22-'Cohort Method (Elliot''s paper) '!P22</f>
        <v>-6.229558661630108E-5</v>
      </c>
    </row>
    <row r="23" spans="1:17">
      <c r="A23" s="13" t="s">
        <v>23</v>
      </c>
      <c r="B23" s="10">
        <v>6.9786177482455969E-4</v>
      </c>
      <c r="C23" s="10">
        <f>'Opioid Mortality - WONDER'!H21/100000</f>
        <v>6.3670000000000005E-5</v>
      </c>
      <c r="D23" s="10">
        <f t="shared" si="0"/>
        <v>6.3419177482455964E-4</v>
      </c>
      <c r="E23" s="22">
        <f t="shared" si="1"/>
        <v>6.3421196944657421E-4</v>
      </c>
      <c r="F23" s="11">
        <f t="shared" si="5"/>
        <v>99013.327009947679</v>
      </c>
      <c r="G23" s="11">
        <f t="shared" si="2"/>
        <v>62.795437124436596</v>
      </c>
      <c r="H23" s="11">
        <v>99005.8984375</v>
      </c>
      <c r="I23" s="11">
        <v>98971.3515625</v>
      </c>
      <c r="J23" s="34"/>
      <c r="K23" s="11">
        <f t="shared" si="6"/>
        <v>98981.929291385459</v>
      </c>
      <c r="L23" s="11">
        <v>5974698.5</v>
      </c>
      <c r="M23" s="11">
        <f>SUM(K23:K$89)</f>
        <v>6016591.2996467687</v>
      </c>
      <c r="N23" s="42">
        <v>60.346893310546875</v>
      </c>
      <c r="O23" s="46">
        <f t="shared" si="3"/>
        <v>60.765469471016701</v>
      </c>
      <c r="P23" s="37">
        <f t="shared" si="4"/>
        <v>152.88494261160383</v>
      </c>
      <c r="Q23" s="66">
        <f>P23-'Cohort Method (Elliot''s paper) '!P23</f>
        <v>-6.2331131260862094E-5</v>
      </c>
    </row>
    <row r="24" spans="1:17">
      <c r="A24" s="13" t="s">
        <v>24</v>
      </c>
      <c r="B24" s="10">
        <v>7.9517130507156253E-4</v>
      </c>
      <c r="C24" s="10">
        <f>'Opioid Mortality - WONDER'!H22/100000</f>
        <v>9.4930000000000001E-5</v>
      </c>
      <c r="D24" s="10">
        <f t="shared" si="0"/>
        <v>7.0024130507156251E-4</v>
      </c>
      <c r="E24" s="22">
        <f t="shared" si="1"/>
        <v>7.0027455189070054E-4</v>
      </c>
      <c r="F24" s="11">
        <f t="shared" si="5"/>
        <v>98950.531572823238</v>
      </c>
      <c r="G24" s="11">
        <f t="shared" si="2"/>
        <v>69.292539156505413</v>
      </c>
      <c r="H24" s="11">
        <v>98936.8046875</v>
      </c>
      <c r="I24" s="11">
        <v>98897.46875</v>
      </c>
      <c r="J24" s="34"/>
      <c r="K24" s="11">
        <f t="shared" si="6"/>
        <v>98915.885303244984</v>
      </c>
      <c r="L24" s="11">
        <v>5875727</v>
      </c>
      <c r="M24" s="11">
        <f>SUM(K24:K$89)</f>
        <v>5917609.3703553826</v>
      </c>
      <c r="N24" s="42">
        <v>59.388687133789062</v>
      </c>
      <c r="O24" s="46">
        <f t="shared" si="3"/>
        <v>59.803714808750499</v>
      </c>
      <c r="P24" s="37">
        <f t="shared" si="4"/>
        <v>151.58885827966463</v>
      </c>
      <c r="Q24" s="66">
        <f>P24-'Cohort Method (Elliot''s paper) '!P24</f>
        <v>-6.2370685554924421E-5</v>
      </c>
    </row>
    <row r="25" spans="1:17">
      <c r="A25" s="13" t="s">
        <v>25</v>
      </c>
      <c r="B25" s="10">
        <v>8.89373361133039E-4</v>
      </c>
      <c r="C25" s="10">
        <f>'Opioid Mortality - WONDER'!H23/100000</f>
        <v>1.2712999999999998E-4</v>
      </c>
      <c r="D25" s="10">
        <f t="shared" si="0"/>
        <v>7.6224336113303896E-4</v>
      </c>
      <c r="E25" s="22">
        <f t="shared" si="1"/>
        <v>7.6229182955733776E-4</v>
      </c>
      <c r="F25" s="11">
        <f t="shared" si="5"/>
        <v>98881.23903366673</v>
      </c>
      <c r="G25" s="11">
        <f t="shared" si="2"/>
        <v>75.376360611870254</v>
      </c>
      <c r="H25" s="11">
        <v>98858.1328125</v>
      </c>
      <c r="I25" s="11">
        <v>98814.171875</v>
      </c>
      <c r="J25" s="34"/>
      <c r="K25" s="11">
        <f t="shared" si="6"/>
        <v>98843.550853360794</v>
      </c>
      <c r="L25" s="11">
        <v>5776829.5</v>
      </c>
      <c r="M25" s="11">
        <f>SUM(K25:K$89)</f>
        <v>5818693.4850521386</v>
      </c>
      <c r="N25" s="42">
        <v>58.435550689697266</v>
      </c>
      <c r="O25" s="46">
        <f t="shared" si="3"/>
        <v>58.845272793062499</v>
      </c>
      <c r="P25" s="37">
        <f t="shared" si="4"/>
        <v>149.65099825415143</v>
      </c>
      <c r="Q25" s="66">
        <f>P25-'Cohort Method (Elliot''s paper) '!P25</f>
        <v>-6.2414394903953507E-5</v>
      </c>
    </row>
    <row r="26" spans="1:17">
      <c r="A26" s="13" t="s">
        <v>26</v>
      </c>
      <c r="B26" s="10">
        <v>9.7021477995440364E-4</v>
      </c>
      <c r="C26" s="10">
        <f>'Opioid Mortality - WONDER'!H24/100000</f>
        <v>1.5880000000000001E-4</v>
      </c>
      <c r="D26" s="10">
        <f t="shared" si="0"/>
        <v>8.1141477995440368E-4</v>
      </c>
      <c r="E26" s="22">
        <f t="shared" si="1"/>
        <v>8.1147923054680771E-4</v>
      </c>
      <c r="F26" s="11">
        <f t="shared" si="5"/>
        <v>98805.862673054857</v>
      </c>
      <c r="G26" s="11">
        <f t="shared" si="2"/>
        <v>80.178905415444106</v>
      </c>
      <c r="H26" s="11">
        <v>98770.2109375</v>
      </c>
      <c r="I26" s="11">
        <v>98722.296875</v>
      </c>
      <c r="J26" s="34"/>
      <c r="K26" s="11">
        <f t="shared" si="6"/>
        <v>98765.773220347124</v>
      </c>
      <c r="L26" s="11">
        <v>5678015.5</v>
      </c>
      <c r="M26" s="11">
        <f>SUM(K26:K$89)</f>
        <v>5719849.9341987781</v>
      </c>
      <c r="N26" s="42">
        <v>57.487125396728516</v>
      </c>
      <c r="O26" s="46">
        <f t="shared" si="3"/>
        <v>57.88978284745675</v>
      </c>
      <c r="P26" s="37">
        <f t="shared" si="4"/>
        <v>147.07063387848774</v>
      </c>
      <c r="Q26" s="66">
        <f>P26-'Cohort Method (Elliot''s paper) '!P26</f>
        <v>-6.2462010106401067E-5</v>
      </c>
    </row>
    <row r="27" spans="1:17">
      <c r="A27" s="13" t="s">
        <v>27</v>
      </c>
      <c r="B27" s="10">
        <v>1.032469910569489E-3</v>
      </c>
      <c r="C27" s="10">
        <f>'Opioid Mortality - WONDER'!H25/100000</f>
        <v>2.0219999999999998E-4</v>
      </c>
      <c r="D27" s="10">
        <f t="shared" si="0"/>
        <v>8.3026991056948897E-4</v>
      </c>
      <c r="E27" s="22">
        <f t="shared" si="1"/>
        <v>8.3035388542318511E-4</v>
      </c>
      <c r="F27" s="11">
        <f t="shared" si="5"/>
        <v>98725.683767639406</v>
      </c>
      <c r="G27" s="11">
        <f t="shared" si="2"/>
        <v>81.977255107520051</v>
      </c>
      <c r="H27" s="11">
        <v>98674.3828125</v>
      </c>
      <c r="I27" s="11">
        <v>98623.4453125</v>
      </c>
      <c r="J27" s="34"/>
      <c r="K27" s="11">
        <f t="shared" si="6"/>
        <v>98684.695140085649</v>
      </c>
      <c r="L27" s="11">
        <v>5579293</v>
      </c>
      <c r="M27" s="11">
        <f>SUM(K27:K$89)</f>
        <v>5621084.1609784309</v>
      </c>
      <c r="N27" s="42">
        <v>56.542465209960938</v>
      </c>
      <c r="O27" s="46">
        <f t="shared" si="3"/>
        <v>56.93639128606295</v>
      </c>
      <c r="P27" s="37">
        <f t="shared" si="4"/>
        <v>143.88149929625996</v>
      </c>
      <c r="Q27" s="66">
        <f>P27-'Cohort Method (Elliot''s paper) '!P27</f>
        <v>-6.2512737002862195E-5</v>
      </c>
    </row>
    <row r="28" spans="1:17">
      <c r="A28" s="13" t="s">
        <v>28</v>
      </c>
      <c r="B28" s="10">
        <v>1.0802376782521605E-3</v>
      </c>
      <c r="C28" s="10">
        <f>'Opioid Mortality - WONDER'!H26/100000</f>
        <v>2.2169E-4</v>
      </c>
      <c r="D28" s="10">
        <f t="shared" si="0"/>
        <v>8.5854767825216058E-4</v>
      </c>
      <c r="E28" s="22">
        <f t="shared" si="1"/>
        <v>8.5864288529380328E-4</v>
      </c>
      <c r="F28" s="11">
        <f t="shared" si="5"/>
        <v>98643.706512531891</v>
      </c>
      <c r="G28" s="11">
        <f t="shared" si="2"/>
        <v>84.699716775995512</v>
      </c>
      <c r="H28" s="11">
        <v>98572.5078125</v>
      </c>
      <c r="I28" s="11">
        <v>98519.265625</v>
      </c>
      <c r="J28" s="34"/>
      <c r="K28" s="11">
        <f t="shared" si="6"/>
        <v>98601.356654143892</v>
      </c>
      <c r="L28" s="11">
        <v>5480669.5</v>
      </c>
      <c r="M28" s="11">
        <f>SUM(K28:K$89)</f>
        <v>5522399.4658383448</v>
      </c>
      <c r="N28" s="42">
        <v>55.600387573242188</v>
      </c>
      <c r="O28" s="46">
        <f t="shared" si="3"/>
        <v>55.983292407374904</v>
      </c>
      <c r="P28" s="37">
        <f t="shared" si="4"/>
        <v>139.85599066697472</v>
      </c>
      <c r="Q28" s="66">
        <f>P28-'Cohort Method (Elliot''s paper) '!P28</f>
        <v>-6.2564686260202507E-5</v>
      </c>
    </row>
    <row r="29" spans="1:17">
      <c r="A29" s="13" t="s">
        <v>29</v>
      </c>
      <c r="B29" s="10">
        <v>1.1225509224459529E-3</v>
      </c>
      <c r="C29" s="10">
        <f>'Opioid Mortality - WONDER'!H27/100000</f>
        <v>2.3338999999999999E-4</v>
      </c>
      <c r="D29" s="10">
        <f t="shared" si="0"/>
        <v>8.8916092244595291E-4</v>
      </c>
      <c r="E29" s="22">
        <f t="shared" si="1"/>
        <v>8.8926473000661144E-4</v>
      </c>
      <c r="F29" s="11">
        <f t="shared" si="5"/>
        <v>98559.006795755893</v>
      </c>
      <c r="G29" s="11">
        <f t="shared" si="2"/>
        <v>87.64504856794764</v>
      </c>
      <c r="H29" s="11">
        <v>98466.0234375</v>
      </c>
      <c r="I29" s="11">
        <v>98410.7578125</v>
      </c>
      <c r="J29" s="34"/>
      <c r="K29" s="11">
        <f t="shared" si="6"/>
        <v>98515.18427147191</v>
      </c>
      <c r="L29" s="11">
        <v>5382150.5</v>
      </c>
      <c r="M29" s="11">
        <f>SUM(K29:K$89)</f>
        <v>5423798.1091841999</v>
      </c>
      <c r="N29" s="42">
        <v>54.659976959228516</v>
      </c>
      <c r="O29" s="46">
        <f t="shared" si="3"/>
        <v>55.0309736828411</v>
      </c>
      <c r="P29" s="37">
        <f t="shared" si="4"/>
        <v>135.5065532994966</v>
      </c>
      <c r="Q29" s="66">
        <f>P29-'Cohort Method (Elliot''s paper) '!P29</f>
        <v>-6.2618454819585168E-5</v>
      </c>
    </row>
    <row r="30" spans="1:17">
      <c r="A30" s="13" t="s">
        <v>30</v>
      </c>
      <c r="B30" s="10">
        <v>1.1651417007669806E-3</v>
      </c>
      <c r="C30" s="10">
        <f>'Opioid Mortality - WONDER'!H28/100000</f>
        <v>2.5196000000000002E-4</v>
      </c>
      <c r="D30" s="10">
        <f t="shared" si="0"/>
        <v>9.1318170076698057E-4</v>
      </c>
      <c r="E30" s="22">
        <f t="shared" si="1"/>
        <v>9.1329679777507611E-4</v>
      </c>
      <c r="F30" s="11">
        <f t="shared" si="5"/>
        <v>98471.361747187941</v>
      </c>
      <c r="G30" s="11">
        <f t="shared" si="2"/>
        <v>89.933579356257866</v>
      </c>
      <c r="H30" s="11">
        <v>98355.4921875</v>
      </c>
      <c r="I30" s="11">
        <v>98298.1875</v>
      </c>
      <c r="J30" s="34"/>
      <c r="K30" s="11">
        <f t="shared" si="6"/>
        <v>98426.394957509809</v>
      </c>
      <c r="L30" s="11">
        <v>5283739.5</v>
      </c>
      <c r="M30" s="11">
        <f>SUM(K30:K$89)</f>
        <v>5325282.9249127284</v>
      </c>
      <c r="N30" s="42">
        <v>53.720836639404297</v>
      </c>
      <c r="O30" s="46">
        <f t="shared" si="3"/>
        <v>54.079509315456413</v>
      </c>
      <c r="P30" s="37">
        <f t="shared" si="4"/>
        <v>131.00519492803534</v>
      </c>
      <c r="Q30" s="66">
        <f>P30-'Cohort Method (Elliot''s paper) '!P30</f>
        <v>-6.2674187972788786E-5</v>
      </c>
    </row>
    <row r="31" spans="1:17">
      <c r="A31" s="13" t="s">
        <v>31</v>
      </c>
      <c r="B31" s="10">
        <v>1.2071458622813225E-3</v>
      </c>
      <c r="C31" s="10">
        <f>'Opioid Mortality - WONDER'!H29/100000</f>
        <v>2.8217999999999999E-4</v>
      </c>
      <c r="D31" s="10">
        <f t="shared" si="0"/>
        <v>9.2496586228132255E-4</v>
      </c>
      <c r="E31" s="22">
        <f t="shared" si="1"/>
        <v>9.2509643054594637E-4</v>
      </c>
      <c r="F31" s="11">
        <f t="shared" si="5"/>
        <v>98381.428167831677</v>
      </c>
      <c r="G31" s="11">
        <f t="shared" si="2"/>
        <v>91.012308030073513</v>
      </c>
      <c r="H31" s="11">
        <v>98240.890625</v>
      </c>
      <c r="I31" s="11">
        <v>98181.59375</v>
      </c>
      <c r="J31" s="34"/>
      <c r="K31" s="11">
        <f t="shared" si="6"/>
        <v>98335.922013816642</v>
      </c>
      <c r="L31" s="11">
        <v>5185441.5</v>
      </c>
      <c r="M31" s="11">
        <f>SUM(K31:K$89)</f>
        <v>5226856.5299552195</v>
      </c>
      <c r="N31" s="42">
        <v>52.782924652099609</v>
      </c>
      <c r="O31" s="46">
        <f t="shared" si="3"/>
        <v>53.128488041854567</v>
      </c>
      <c r="P31" s="37">
        <f t="shared" si="4"/>
        <v>126.21702810799822</v>
      </c>
      <c r="Q31" s="66">
        <f>P31-'Cohort Method (Elliot''s paper) '!P31</f>
        <v>-7.4112161826178635E-5</v>
      </c>
    </row>
    <row r="32" spans="1:17">
      <c r="A32" s="13" t="s">
        <v>32</v>
      </c>
      <c r="B32" s="10">
        <v>1.2518096482381225E-3</v>
      </c>
      <c r="C32" s="10">
        <f>'Opioid Mortality - WONDER'!H30/100000</f>
        <v>3.0051999999999998E-4</v>
      </c>
      <c r="D32" s="10">
        <f t="shared" si="0"/>
        <v>9.5128964823812249E-4</v>
      </c>
      <c r="E32" s="22">
        <f t="shared" si="1"/>
        <v>9.5143266303632235E-4</v>
      </c>
      <c r="F32" s="11">
        <f t="shared" si="5"/>
        <v>98290.415859801607</v>
      </c>
      <c r="G32" s="11">
        <f t="shared" si="2"/>
        <v>93.516712112438611</v>
      </c>
      <c r="H32" s="11">
        <v>98122.296875</v>
      </c>
      <c r="I32" s="11">
        <v>98060.8828125</v>
      </c>
      <c r="J32" s="34"/>
      <c r="K32" s="11">
        <f t="shared" si="6"/>
        <v>98243.657503745388</v>
      </c>
      <c r="L32" s="11">
        <v>5087259.5</v>
      </c>
      <c r="M32" s="11">
        <f>SUM(K32:K$89)</f>
        <v>5128520.6079414021</v>
      </c>
      <c r="N32" s="42">
        <v>51.846111297607422</v>
      </c>
      <c r="O32" s="46">
        <f t="shared" si="3"/>
        <v>52.177219549631005</v>
      </c>
      <c r="P32" s="37">
        <f t="shared" si="4"/>
        <v>120.93728905161363</v>
      </c>
      <c r="Q32" s="66">
        <f>P32-'Cohort Method (Elliot''s paper) '!P32</f>
        <v>-7.4180793404821088E-5</v>
      </c>
    </row>
    <row r="33" spans="1:17">
      <c r="A33" s="13" t="s">
        <v>33</v>
      </c>
      <c r="B33" s="10">
        <v>1.2999660102650523E-3</v>
      </c>
      <c r="C33" s="10">
        <f>'Opioid Mortality - WONDER'!H31/100000</f>
        <v>2.9748000000000003E-4</v>
      </c>
      <c r="D33" s="10">
        <f t="shared" si="0"/>
        <v>1.0024860102650522E-3</v>
      </c>
      <c r="E33" s="22">
        <f t="shared" si="1"/>
        <v>1.0026351994900651E-3</v>
      </c>
      <c r="F33" s="11">
        <f t="shared" si="5"/>
        <v>98196.899147689168</v>
      </c>
      <c r="G33" s="11">
        <f t="shared" si="2"/>
        <v>98.455667566249133</v>
      </c>
      <c r="H33" s="11">
        <v>97999.46875</v>
      </c>
      <c r="I33" s="11">
        <v>97935.765625</v>
      </c>
      <c r="J33" s="34"/>
      <c r="K33" s="11">
        <f t="shared" si="6"/>
        <v>98147.671313906045</v>
      </c>
      <c r="L33" s="11">
        <v>4989199</v>
      </c>
      <c r="M33" s="11">
        <f>SUM(K33:K$89)</f>
        <v>5030276.9504376575</v>
      </c>
      <c r="N33" s="42">
        <v>50.910469055175781</v>
      </c>
      <c r="O33" s="46">
        <f t="shared" si="3"/>
        <v>51.226433768260527</v>
      </c>
      <c r="P33" s="37">
        <f t="shared" si="4"/>
        <v>115.4061114542035</v>
      </c>
      <c r="Q33" s="66">
        <f>P33-'Cohort Method (Elliot''s paper) '!P33</f>
        <v>-7.4251433716199244E-5</v>
      </c>
    </row>
    <row r="34" spans="1:17">
      <c r="A34" s="13" t="s">
        <v>34</v>
      </c>
      <c r="B34" s="10">
        <v>1.3505816459655762E-3</v>
      </c>
      <c r="C34" s="10">
        <f>'Opioid Mortality - WONDER'!H32/100000</f>
        <v>2.8975000000000002E-4</v>
      </c>
      <c r="D34" s="10">
        <f t="shared" si="0"/>
        <v>1.0608316459655761E-3</v>
      </c>
      <c r="E34" s="22">
        <f t="shared" si="1"/>
        <v>1.060985418046223E-3</v>
      </c>
      <c r="F34" s="11">
        <f t="shared" si="5"/>
        <v>98098.443480122922</v>
      </c>
      <c r="G34" s="11">
        <f t="shared" si="2"/>
        <v>104.081018065442</v>
      </c>
      <c r="H34" s="11">
        <v>97872.0703125</v>
      </c>
      <c r="I34" s="11">
        <v>97805.9765625</v>
      </c>
      <c r="J34" s="34"/>
      <c r="K34" s="11">
        <f t="shared" si="6"/>
        <v>98046.40297109021</v>
      </c>
      <c r="L34" s="11">
        <v>4891263</v>
      </c>
      <c r="M34" s="11">
        <f>SUM(K34:K$89)</f>
        <v>4932129.2791237514</v>
      </c>
      <c r="N34" s="42">
        <v>49.976085662841797</v>
      </c>
      <c r="O34" s="46">
        <f t="shared" si="3"/>
        <v>50.27734492161558</v>
      </c>
      <c r="P34" s="37">
        <f t="shared" si="4"/>
        <v>110.03494426712416</v>
      </c>
      <c r="Q34" s="66">
        <f>P34-'Cohort Method (Elliot''s paper) '!P34</f>
        <v>-8.5565917459007323E-5</v>
      </c>
    </row>
    <row r="35" spans="1:17">
      <c r="A35" s="13" t="s">
        <v>35</v>
      </c>
      <c r="B35" s="10">
        <v>1.4020204544067383E-3</v>
      </c>
      <c r="C35" s="10">
        <f>'Opioid Mortality - WONDER'!H33/100000</f>
        <v>3.0167000000000003E-4</v>
      </c>
      <c r="D35" s="10">
        <f t="shared" si="0"/>
        <v>1.1003504544067383E-3</v>
      </c>
      <c r="E35" s="22">
        <f t="shared" si="1"/>
        <v>1.1005165200953515E-3</v>
      </c>
      <c r="F35" s="11">
        <f t="shared" si="5"/>
        <v>97994.362462057485</v>
      </c>
      <c r="G35" s="11">
        <f t="shared" si="2"/>
        <v>107.84441476570605</v>
      </c>
      <c r="H35" s="11">
        <v>97739.8828125</v>
      </c>
      <c r="I35" s="11">
        <v>97671.3671875</v>
      </c>
      <c r="J35" s="34"/>
      <c r="K35" s="11">
        <f t="shared" si="6"/>
        <v>97940.440254674642</v>
      </c>
      <c r="L35" s="11">
        <v>4793457</v>
      </c>
      <c r="M35" s="11">
        <f>SUM(K35:K$89)</f>
        <v>4834082.8761526607</v>
      </c>
      <c r="N35" s="42">
        <v>49.042999267578125</v>
      </c>
      <c r="O35" s="46">
        <f t="shared" si="3"/>
        <v>49.330214052102981</v>
      </c>
      <c r="P35" s="37">
        <f t="shared" si="4"/>
        <v>104.90520004770376</v>
      </c>
      <c r="Q35" s="66">
        <f>P35-'Cohort Method (Elliot''s paper) '!P35</f>
        <v>-8.5656798177069504E-5</v>
      </c>
    </row>
    <row r="36" spans="1:17">
      <c r="A36" s="13" t="s">
        <v>36</v>
      </c>
      <c r="B36" s="10">
        <v>1.4542329590767622E-3</v>
      </c>
      <c r="C36" s="10">
        <f>'Opioid Mortality - WONDER'!H34/100000</f>
        <v>3.2085999999999996E-4</v>
      </c>
      <c r="D36" s="10">
        <f t="shared" si="0"/>
        <v>1.1333729590767621E-3</v>
      </c>
      <c r="E36" s="22">
        <f t="shared" si="1"/>
        <v>1.1335548937742024E-3</v>
      </c>
      <c r="F36" s="11">
        <f t="shared" si="5"/>
        <v>97886.518047291785</v>
      </c>
      <c r="G36" s="11">
        <f t="shared" si="2"/>
        <v>110.95974156702438</v>
      </c>
      <c r="H36" s="11">
        <v>97602.8515625</v>
      </c>
      <c r="I36" s="11">
        <v>97531.8828125</v>
      </c>
      <c r="J36" s="34"/>
      <c r="K36" s="11">
        <f t="shared" si="6"/>
        <v>97831.038176508271</v>
      </c>
      <c r="L36" s="11">
        <v>4695785.5</v>
      </c>
      <c r="M36" s="11">
        <f>SUM(K36:K$89)</f>
        <v>4736142.4358979873</v>
      </c>
      <c r="N36" s="42">
        <v>48.111148834228516</v>
      </c>
      <c r="O36" s="46">
        <f t="shared" ref="O36:O67" si="7">M36/F36</f>
        <v>48.3840117145634</v>
      </c>
      <c r="P36" s="37">
        <f t="shared" si="4"/>
        <v>99.663167042316388</v>
      </c>
      <c r="Q36" s="66">
        <f>P36-'Cohort Method (Elliot''s paper) '!P36</f>
        <v>-8.5751166935210676E-5</v>
      </c>
    </row>
    <row r="37" spans="1:17">
      <c r="A37" s="13" t="s">
        <v>37</v>
      </c>
      <c r="B37" s="10">
        <v>1.5055579133331776E-3</v>
      </c>
      <c r="C37" s="10">
        <f>'Opioid Mortality - WONDER'!H35/100000</f>
        <v>3.2451999999999996E-4</v>
      </c>
      <c r="D37" s="10">
        <f t="shared" si="0"/>
        <v>1.1810379133331775E-3</v>
      </c>
      <c r="E37" s="22">
        <f t="shared" si="1"/>
        <v>1.1812296655450139E-3</v>
      </c>
      <c r="F37" s="11">
        <f t="shared" si="5"/>
        <v>97775.558305724757</v>
      </c>
      <c r="G37" s="11">
        <f t="shared" si="2"/>
        <v>115.49539003594826</v>
      </c>
      <c r="H37" s="11">
        <v>97460.9140625</v>
      </c>
      <c r="I37" s="11">
        <v>97387.546875</v>
      </c>
      <c r="J37" s="34"/>
      <c r="K37" s="11">
        <f t="shared" ref="K37:K68" si="8">1*(F37-G37)+0.5*1*G37</f>
        <v>97717.810610706772</v>
      </c>
      <c r="L37" s="11">
        <v>4598254</v>
      </c>
      <c r="M37" s="11">
        <f>SUM(K37:K$89)</f>
        <v>4638311.3977214769</v>
      </c>
      <c r="N37" s="42">
        <v>47.180492401123047</v>
      </c>
      <c r="O37" s="46">
        <f t="shared" si="7"/>
        <v>47.43835246860364</v>
      </c>
      <c r="P37" s="37">
        <f t="shared" si="4"/>
        <v>94.183389647286461</v>
      </c>
      <c r="Q37" s="66">
        <f>P37-'Cohort Method (Elliot''s paper) '!P37</f>
        <v>-8.5848486492068332E-5</v>
      </c>
    </row>
    <row r="38" spans="1:17">
      <c r="A38" s="13" t="s">
        <v>38</v>
      </c>
      <c r="B38" s="10">
        <v>1.5564917121082544E-3</v>
      </c>
      <c r="C38" s="10">
        <f>'Opioid Mortality - WONDER'!H36/100000</f>
        <v>3.1271000000000001E-4</v>
      </c>
      <c r="D38" s="10">
        <f t="shared" si="0"/>
        <v>1.2437817121082545E-3</v>
      </c>
      <c r="E38" s="22">
        <f t="shared" si="1"/>
        <v>1.2439763048704977E-3</v>
      </c>
      <c r="F38" s="11">
        <f t="shared" si="5"/>
        <v>97660.062915688803</v>
      </c>
      <c r="G38" s="11">
        <f t="shared" si="2"/>
        <v>121.48680419927888</v>
      </c>
      <c r="H38" s="11">
        <v>97314.1796875</v>
      </c>
      <c r="I38" s="11">
        <v>97238.4453125</v>
      </c>
      <c r="J38" s="34"/>
      <c r="K38" s="11">
        <f t="shared" si="8"/>
        <v>97599.319513589173</v>
      </c>
      <c r="L38" s="11">
        <v>4500866.5</v>
      </c>
      <c r="M38" s="11">
        <f>SUM(K38:K$89)</f>
        <v>4540593.5871107709</v>
      </c>
      <c r="N38" s="42">
        <v>46.250881195068359</v>
      </c>
      <c r="O38" s="46">
        <f t="shared" si="7"/>
        <v>46.493863013693982</v>
      </c>
      <c r="P38" s="37">
        <f t="shared" si="4"/>
        <v>88.749109253008697</v>
      </c>
      <c r="Q38" s="66">
        <f>P38-'Cohort Method (Elliot''s paper) '!P38</f>
        <v>-8.595001035871519E-5</v>
      </c>
    </row>
    <row r="39" spans="1:17">
      <c r="A39" s="13" t="s">
        <v>39</v>
      </c>
      <c r="B39" s="10">
        <v>1.6147659625858068E-3</v>
      </c>
      <c r="C39" s="10">
        <f>'Opioid Mortality - WONDER'!H37/100000</f>
        <v>3.1959000000000002E-4</v>
      </c>
      <c r="D39" s="10">
        <f t="shared" si="0"/>
        <v>1.2951759625858068E-3</v>
      </c>
      <c r="E39" s="22">
        <f t="shared" si="1"/>
        <v>1.2953830587937309E-3</v>
      </c>
      <c r="F39" s="11">
        <f t="shared" si="5"/>
        <v>97538.576111489529</v>
      </c>
      <c r="G39" s="11">
        <f t="shared" si="2"/>
        <v>126.34981907368645</v>
      </c>
      <c r="H39" s="11">
        <v>97162.7109375</v>
      </c>
      <c r="I39" s="11">
        <v>97084.265625</v>
      </c>
      <c r="J39" s="34"/>
      <c r="K39" s="11">
        <f t="shared" si="8"/>
        <v>97475.401201952685</v>
      </c>
      <c r="L39" s="11">
        <v>4403628</v>
      </c>
      <c r="M39" s="11">
        <f>SUM(K39:K$89)</f>
        <v>4442994.2675971827</v>
      </c>
      <c r="N39" s="42">
        <v>45.322200775146484</v>
      </c>
      <c r="O39" s="46">
        <f t="shared" si="7"/>
        <v>45.551149552549411</v>
      </c>
      <c r="P39" s="37">
        <f t="shared" si="4"/>
        <v>83.623540946419027</v>
      </c>
      <c r="Q39" s="66">
        <f>P39-'Cohort Method (Elliot''s paper) '!P39</f>
        <v>-8.605705953357301E-5</v>
      </c>
    </row>
    <row r="40" spans="1:17">
      <c r="A40" s="13" t="s">
        <v>40</v>
      </c>
      <c r="B40" s="10">
        <v>1.6787280328571796E-3</v>
      </c>
      <c r="C40" s="10">
        <f>'Opioid Mortality - WONDER'!H38/100000</f>
        <v>3.0621000000000001E-4</v>
      </c>
      <c r="D40" s="10">
        <f t="shared" si="0"/>
        <v>1.3725180328571797E-3</v>
      </c>
      <c r="E40" s="22">
        <f t="shared" si="1"/>
        <v>1.3727283113960098E-3</v>
      </c>
      <c r="F40" s="11">
        <f t="shared" si="5"/>
        <v>97412.226292415842</v>
      </c>
      <c r="G40" s="11">
        <f t="shared" si="2"/>
        <v>133.72052090771399</v>
      </c>
      <c r="H40" s="11">
        <v>97005.8125</v>
      </c>
      <c r="I40" s="11">
        <v>96924.390625</v>
      </c>
      <c r="J40" s="34"/>
      <c r="K40" s="11">
        <f t="shared" si="8"/>
        <v>97345.366031961996</v>
      </c>
      <c r="L40" s="11">
        <v>4306543.5</v>
      </c>
      <c r="M40" s="11">
        <f>SUM(K40:K$89)</f>
        <v>4345518.8663952295</v>
      </c>
      <c r="N40" s="42">
        <v>44.394695281982422</v>
      </c>
      <c r="O40" s="46">
        <f t="shared" si="7"/>
        <v>44.609583743119479</v>
      </c>
      <c r="P40" s="37">
        <f t="shared" si="4"/>
        <v>78.488010430310297</v>
      </c>
      <c r="Q40" s="66">
        <f>P40-'Cohort Method (Elliot''s paper) '!P40</f>
        <v>-7.4373820865503149E-5</v>
      </c>
    </row>
    <row r="41" spans="1:17">
      <c r="A41" s="13" t="s">
        <v>41</v>
      </c>
      <c r="B41" s="10">
        <v>1.7399053322151303E-3</v>
      </c>
      <c r="C41" s="10">
        <f>'Opioid Mortality - WONDER'!H39/100000</f>
        <v>2.8627999999999998E-4</v>
      </c>
      <c r="D41" s="10">
        <f t="shared" si="0"/>
        <v>1.4536253322151305E-3</v>
      </c>
      <c r="E41" s="22">
        <f t="shared" si="1"/>
        <v>1.4538335448084361E-3</v>
      </c>
      <c r="F41" s="11">
        <f t="shared" si="5"/>
        <v>97278.505771508135</v>
      </c>
      <c r="G41" s="11">
        <f t="shared" si="2"/>
        <v>141.42675487945957</v>
      </c>
      <c r="H41" s="11">
        <v>96842.96875</v>
      </c>
      <c r="I41" s="11">
        <v>96758.71875</v>
      </c>
      <c r="J41" s="34"/>
      <c r="K41" s="11">
        <f t="shared" si="8"/>
        <v>97207.792394068398</v>
      </c>
      <c r="L41" s="11">
        <v>4209619</v>
      </c>
      <c r="M41" s="11">
        <f>SUM(K41:K$89)</f>
        <v>4248173.500363268</v>
      </c>
      <c r="N41" s="42">
        <v>43.468505859375</v>
      </c>
      <c r="O41" s="46">
        <f t="shared" si="7"/>
        <v>43.670217451135173</v>
      </c>
      <c r="P41" s="37">
        <f t="shared" si="4"/>
        <v>73.675158890403125</v>
      </c>
      <c r="Q41" s="66">
        <f>P41-'Cohort Method (Elliot''s paper) '!P41</f>
        <v>-7.4476055843319955E-5</v>
      </c>
    </row>
    <row r="42" spans="1:17">
      <c r="A42" s="13" t="s">
        <v>42</v>
      </c>
      <c r="B42" s="10">
        <v>1.7976908711716533E-3</v>
      </c>
      <c r="C42" s="10">
        <f>'Opioid Mortality - WONDER'!H40/100000</f>
        <v>2.7812000000000003E-4</v>
      </c>
      <c r="D42" s="10">
        <f t="shared" si="0"/>
        <v>1.5195708711716533E-3</v>
      </c>
      <c r="E42" s="22">
        <f t="shared" si="1"/>
        <v>1.5197823290530321E-3</v>
      </c>
      <c r="F42" s="11">
        <f t="shared" si="5"/>
        <v>97137.079016628675</v>
      </c>
      <c r="G42" s="11">
        <f t="shared" si="2"/>
        <v>147.62721618530034</v>
      </c>
      <c r="H42" s="11">
        <v>96674.46875</v>
      </c>
      <c r="I42" s="11">
        <v>96587.578125</v>
      </c>
      <c r="J42" s="34"/>
      <c r="K42" s="11">
        <f t="shared" si="8"/>
        <v>97063.265408536026</v>
      </c>
      <c r="L42" s="11">
        <v>4112860.5</v>
      </c>
      <c r="M42" s="11">
        <f>SUM(K42:K$89)</f>
        <v>4150965.7079691989</v>
      </c>
      <c r="N42" s="42">
        <v>42.543399810791016</v>
      </c>
      <c r="O42" s="46">
        <f t="shared" si="7"/>
        <v>42.733071140203883</v>
      </c>
      <c r="P42" s="37">
        <f t="shared" si="4"/>
        <v>69.277453068049795</v>
      </c>
      <c r="Q42" s="66">
        <f>P42-'Cohort Method (Elliot''s paper) '!P42</f>
        <v>-7.4584490874940457E-5</v>
      </c>
    </row>
    <row r="43" spans="1:17">
      <c r="A43" s="13" t="s">
        <v>43</v>
      </c>
      <c r="B43" s="10">
        <v>1.8595327856019139E-3</v>
      </c>
      <c r="C43" s="10">
        <f>'Opioid Mortality - WONDER'!H41/100000</f>
        <v>2.9419E-4</v>
      </c>
      <c r="D43" s="10">
        <f t="shared" si="0"/>
        <v>1.565342785601914E-3</v>
      </c>
      <c r="E43" s="22">
        <f t="shared" si="1"/>
        <v>1.5655732051661486E-3</v>
      </c>
      <c r="F43" s="11">
        <f t="shared" si="5"/>
        <v>96989.451800443378</v>
      </c>
      <c r="G43" s="11">
        <f t="shared" si="2"/>
        <v>151.84408692252782</v>
      </c>
      <c r="H43" s="11">
        <v>96500.6796875</v>
      </c>
      <c r="I43" s="11">
        <v>96410.953125</v>
      </c>
      <c r="J43" s="34"/>
      <c r="K43" s="11">
        <f t="shared" si="8"/>
        <v>96913.529756982112</v>
      </c>
      <c r="L43" s="11">
        <v>4016273</v>
      </c>
      <c r="M43" s="11">
        <f>SUM(K43:K$89)</f>
        <v>4053902.4425606634</v>
      </c>
      <c r="N43" s="42">
        <v>41.619117736816406</v>
      </c>
      <c r="O43" s="46">
        <f t="shared" si="7"/>
        <v>41.797353911243896</v>
      </c>
      <c r="P43" s="37">
        <f t="shared" si="4"/>
        <v>65.100762709640506</v>
      </c>
      <c r="Q43" s="66">
        <f>P43-'Cohort Method (Elliot''s paper) '!P43</f>
        <v>-6.2202050955306731E-5</v>
      </c>
    </row>
    <row r="44" spans="1:17">
      <c r="A44" s="13" t="s">
        <v>44</v>
      </c>
      <c r="B44" s="10">
        <v>1.9360573496669531E-3</v>
      </c>
      <c r="C44" s="10">
        <f>'Opioid Mortality - WONDER'!H42/100000</f>
        <v>2.6462000000000002E-4</v>
      </c>
      <c r="D44" s="10">
        <f t="shared" si="0"/>
        <v>1.671437349666953E-3</v>
      </c>
      <c r="E44" s="22">
        <f t="shared" si="1"/>
        <v>1.671658659935682E-3</v>
      </c>
      <c r="F44" s="11">
        <f t="shared" si="5"/>
        <v>96837.607713520847</v>
      </c>
      <c r="G44" s="11">
        <f t="shared" si="2"/>
        <v>161.87942554176152</v>
      </c>
      <c r="H44" s="11">
        <v>96321.234375</v>
      </c>
      <c r="I44" s="11">
        <v>96227.9921875</v>
      </c>
      <c r="J44" s="34"/>
      <c r="K44" s="11">
        <f t="shared" si="8"/>
        <v>96756.668000749967</v>
      </c>
      <c r="L44" s="11">
        <v>3919862</v>
      </c>
      <c r="M44" s="11">
        <f>SUM(K44:K$89)</f>
        <v>3956988.9128036816</v>
      </c>
      <c r="N44" s="42">
        <v>40.695720672607422</v>
      </c>
      <c r="O44" s="46">
        <f t="shared" si="7"/>
        <v>40.862109321306491</v>
      </c>
      <c r="P44" s="37">
        <f t="shared" si="4"/>
        <v>60.773453937334992</v>
      </c>
      <c r="Q44" s="66">
        <f>P44-'Cohort Method (Elliot''s paper) '!P44</f>
        <v>-7.4766869992970442E-5</v>
      </c>
    </row>
    <row r="45" spans="1:17">
      <c r="A45" s="13" t="s">
        <v>45</v>
      </c>
      <c r="B45" s="10">
        <v>2.0360702183097601E-3</v>
      </c>
      <c r="C45" s="10">
        <f>'Opioid Mortality - WONDER'!H43/100000</f>
        <v>2.6524000000000003E-4</v>
      </c>
      <c r="D45" s="10">
        <f t="shared" si="0"/>
        <v>1.7708302183097602E-3</v>
      </c>
      <c r="E45" s="22">
        <f t="shared" si="1"/>
        <v>1.7710652461612186E-3</v>
      </c>
      <c r="F45" s="11">
        <f t="shared" si="5"/>
        <v>96675.728287979087</v>
      </c>
      <c r="G45" s="11">
        <f t="shared" si="2"/>
        <v>171.21902251816476</v>
      </c>
      <c r="H45" s="11">
        <v>96134.75</v>
      </c>
      <c r="I45" s="11">
        <v>96036.8828125</v>
      </c>
      <c r="J45" s="34"/>
      <c r="K45" s="11">
        <f t="shared" si="8"/>
        <v>96590.118776720003</v>
      </c>
      <c r="L45" s="11">
        <v>3823634</v>
      </c>
      <c r="M45" s="11">
        <f>SUM(K45:K$89)</f>
        <v>3860232.2448029313</v>
      </c>
      <c r="N45" s="42">
        <v>39.773693084716797</v>
      </c>
      <c r="O45" s="46">
        <f t="shared" si="7"/>
        <v>39.929693969348897</v>
      </c>
      <c r="P45" s="37">
        <f t="shared" si="4"/>
        <v>56.979323111874422</v>
      </c>
      <c r="Q45" s="66">
        <f>P45-'Cohort Method (Elliot''s paper) '!P45</f>
        <v>-7.4892067800647055E-5</v>
      </c>
    </row>
    <row r="46" spans="1:17">
      <c r="A46" s="13" t="s">
        <v>46</v>
      </c>
      <c r="B46" s="10">
        <v>2.1597782615572214E-3</v>
      </c>
      <c r="C46" s="10">
        <f>'Opioid Mortality - WONDER'!H44/100000</f>
        <v>2.3579999999999999E-4</v>
      </c>
      <c r="D46" s="10">
        <f t="shared" si="0"/>
        <v>1.9239782615572214E-3</v>
      </c>
      <c r="E46" s="22">
        <f t="shared" si="1"/>
        <v>1.9242052799360865E-3</v>
      </c>
      <c r="F46" s="11">
        <f t="shared" si="5"/>
        <v>96504.509265460918</v>
      </c>
      <c r="G46" s="11">
        <f t="shared" si="2"/>
        <v>185.69448626624089</v>
      </c>
      <c r="H46" s="11">
        <v>95939.015625</v>
      </c>
      <c r="I46" s="11">
        <v>95835.4140625</v>
      </c>
      <c r="J46" s="34"/>
      <c r="K46" s="11">
        <f t="shared" si="8"/>
        <v>96411.662022327801</v>
      </c>
      <c r="L46" s="11">
        <v>3727597</v>
      </c>
      <c r="M46" s="11">
        <f>SUM(K46:K$89)</f>
        <v>3763642.1260262113</v>
      </c>
      <c r="N46" s="42">
        <v>38.853816986083984</v>
      </c>
      <c r="O46" s="46">
        <f t="shared" si="7"/>
        <v>38.999650427456487</v>
      </c>
      <c r="P46" s="37">
        <f t="shared" si="4"/>
        <v>53.265664461306592</v>
      </c>
      <c r="Q46" s="66">
        <f>P46-'Cohort Method (Elliot''s paper) '!P46</f>
        <v>-7.5024942383095095E-5</v>
      </c>
    </row>
    <row r="47" spans="1:17">
      <c r="A47" s="13" t="s">
        <v>47</v>
      </c>
      <c r="B47" s="10">
        <v>2.3056466598063707E-3</v>
      </c>
      <c r="C47" s="10">
        <f>'Opioid Mortality - WONDER'!H45/100000</f>
        <v>2.4305E-4</v>
      </c>
      <c r="D47" s="10">
        <f t="shared" si="0"/>
        <v>2.0625966598063709E-3</v>
      </c>
      <c r="E47" s="22">
        <f t="shared" si="1"/>
        <v>2.062847530073908E-3</v>
      </c>
      <c r="F47" s="11">
        <f t="shared" si="5"/>
        <v>96318.814779194683</v>
      </c>
      <c r="G47" s="11">
        <f t="shared" si="2"/>
        <v>198.69102916690798</v>
      </c>
      <c r="H47" s="11">
        <v>95731.8125</v>
      </c>
      <c r="I47" s="11">
        <v>95621.453125</v>
      </c>
      <c r="J47" s="34"/>
      <c r="K47" s="11">
        <f t="shared" si="8"/>
        <v>96219.469264611238</v>
      </c>
      <c r="L47" s="11">
        <v>3631761.75</v>
      </c>
      <c r="M47" s="11">
        <f>SUM(K47:K$89)</f>
        <v>3667230.4640038833</v>
      </c>
      <c r="N47" s="42">
        <v>37.936832427978516</v>
      </c>
      <c r="O47" s="46">
        <f t="shared" si="7"/>
        <v>38.073874480399255</v>
      </c>
      <c r="P47" s="37">
        <f t="shared" si="4"/>
        <v>50.054609646674905</v>
      </c>
      <c r="Q47" s="66">
        <f>P47-'Cohort Method (Elliot''s paper) '!P47</f>
        <v>-7.5169583865886125E-5</v>
      </c>
    </row>
    <row r="48" spans="1:17">
      <c r="A48" s="13" t="s">
        <v>48</v>
      </c>
      <c r="B48" s="10">
        <v>2.4699631612747908E-3</v>
      </c>
      <c r="C48" s="10">
        <f>'Opioid Mortality - WONDER'!H46/100000</f>
        <v>2.2352E-4</v>
      </c>
      <c r="D48" s="10">
        <f t="shared" si="0"/>
        <v>2.2464431612747907E-3</v>
      </c>
      <c r="E48" s="22">
        <f t="shared" si="1"/>
        <v>2.2466944494647922E-3</v>
      </c>
      <c r="F48" s="11">
        <f t="shared" si="5"/>
        <v>96120.123750027778</v>
      </c>
      <c r="G48" s="11">
        <f t="shared" si="2"/>
        <v>215.95254851105636</v>
      </c>
      <c r="H48" s="11">
        <v>95511.0859375</v>
      </c>
      <c r="I48" s="11">
        <v>95393.1328125</v>
      </c>
      <c r="J48" s="34"/>
      <c r="K48" s="11">
        <f t="shared" si="8"/>
        <v>96012.147475772261</v>
      </c>
      <c r="L48" s="11">
        <v>3536140.25</v>
      </c>
      <c r="M48" s="11">
        <f>SUM(K48:K$89)</f>
        <v>3571010.9947392726</v>
      </c>
      <c r="N48" s="42">
        <v>37.023349761962891</v>
      </c>
      <c r="O48" s="46">
        <f t="shared" si="7"/>
        <v>37.151543874684627</v>
      </c>
      <c r="P48" s="37">
        <f t="shared" si="4"/>
        <v>46.822899671614266</v>
      </c>
      <c r="Q48" s="66">
        <f>P48-'Cohort Method (Elliot''s paper) '!P48</f>
        <v>-6.1963331397407728E-5</v>
      </c>
    </row>
    <row r="49" spans="1:17">
      <c r="A49" s="13" t="s">
        <v>49</v>
      </c>
      <c r="B49" s="10">
        <v>2.6473840698599815E-3</v>
      </c>
      <c r="C49" s="10">
        <f>'Opioid Mortality - WONDER'!H47/100000</f>
        <v>2.4245000000000001E-4</v>
      </c>
      <c r="D49" s="10">
        <f t="shared" si="0"/>
        <v>2.4049340698599816E-3</v>
      </c>
      <c r="E49" s="22">
        <f t="shared" si="1"/>
        <v>2.4052258892143241E-3</v>
      </c>
      <c r="F49" s="11">
        <f t="shared" si="5"/>
        <v>95904.171201516729</v>
      </c>
      <c r="G49" s="11">
        <f t="shared" si="2"/>
        <v>230.67119545753084</v>
      </c>
      <c r="H49" s="11">
        <v>95275.1796875</v>
      </c>
      <c r="I49" s="11">
        <v>95149.0625</v>
      </c>
      <c r="J49" s="34"/>
      <c r="K49" s="11">
        <f t="shared" si="8"/>
        <v>95788.835603787971</v>
      </c>
      <c r="L49" s="11">
        <v>3440747</v>
      </c>
      <c r="M49" s="11">
        <f>SUM(K49:K$89)</f>
        <v>3474998.8472635001</v>
      </c>
      <c r="N49" s="42">
        <v>36.113780975341797</v>
      </c>
      <c r="O49" s="46">
        <f t="shared" si="7"/>
        <v>36.234074115105251</v>
      </c>
      <c r="P49" s="37">
        <f t="shared" si="4"/>
        <v>43.937069298601699</v>
      </c>
      <c r="Q49" s="66">
        <f>P49-'Cohort Method (Elliot''s paper) '!P49</f>
        <v>-6.2102860212576161E-5</v>
      </c>
    </row>
    <row r="50" spans="1:17">
      <c r="A50" s="13" t="s">
        <v>50</v>
      </c>
      <c r="B50" s="10">
        <v>2.8458281885832548E-3</v>
      </c>
      <c r="C50" s="10">
        <f>'Opioid Mortality - WONDER'!H48/100000</f>
        <v>2.3931999999999998E-4</v>
      </c>
      <c r="D50" s="10">
        <f t="shared" si="0"/>
        <v>2.6065081885832549E-3</v>
      </c>
      <c r="E50" s="22">
        <f t="shared" si="1"/>
        <v>2.6068204045767152E-3</v>
      </c>
      <c r="F50" s="11">
        <f t="shared" si="5"/>
        <v>95673.500006059199</v>
      </c>
      <c r="G50" s="11">
        <f t="shared" si="2"/>
        <v>249.4036319930656</v>
      </c>
      <c r="H50" s="11">
        <v>95022.953125</v>
      </c>
      <c r="I50" s="11">
        <v>94887.7421875</v>
      </c>
      <c r="J50" s="34"/>
      <c r="K50" s="11">
        <f t="shared" si="8"/>
        <v>95548.798190062676</v>
      </c>
      <c r="L50" s="11">
        <v>3345598</v>
      </c>
      <c r="M50" s="11">
        <f>SUM(K50:K$89)</f>
        <v>3379210.0116597116</v>
      </c>
      <c r="N50" s="42">
        <v>35.20831298828125</v>
      </c>
      <c r="O50" s="46">
        <f t="shared" si="7"/>
        <v>35.320229859320492</v>
      </c>
      <c r="P50" s="37">
        <f t="shared" si="4"/>
        <v>40.877637147082964</v>
      </c>
      <c r="Q50" s="66">
        <f>P50-'Cohort Method (Elliot''s paper) '!P50</f>
        <v>-7.5890922666133065E-5</v>
      </c>
    </row>
    <row r="51" spans="1:17">
      <c r="A51" s="13" t="s">
        <v>51</v>
      </c>
      <c r="B51" s="10">
        <v>3.0785934068262577E-3</v>
      </c>
      <c r="C51" s="10">
        <f>'Opioid Mortality - WONDER'!H49/100000</f>
        <v>2.5052000000000001E-4</v>
      </c>
      <c r="D51" s="10">
        <f t="shared" si="0"/>
        <v>2.8280734068262575E-3</v>
      </c>
      <c r="E51" s="22">
        <f t="shared" si="1"/>
        <v>2.8284280450388E-3</v>
      </c>
      <c r="F51" s="11">
        <f t="shared" si="5"/>
        <v>95424.096374066139</v>
      </c>
      <c r="G51" s="11">
        <f t="shared" si="2"/>
        <v>269.90019035689392</v>
      </c>
      <c r="H51" s="11">
        <v>94752.53125</v>
      </c>
      <c r="I51" s="11">
        <v>94606.6796875</v>
      </c>
      <c r="J51" s="34"/>
      <c r="K51" s="11">
        <f t="shared" si="8"/>
        <v>95289.146278887682</v>
      </c>
      <c r="L51" s="11">
        <v>3250710.25</v>
      </c>
      <c r="M51" s="11">
        <f>SUM(K51:K$89)</f>
        <v>3283661.2134696487</v>
      </c>
      <c r="N51" s="42">
        <v>34.307369232177734</v>
      </c>
      <c r="O51" s="46">
        <f t="shared" si="7"/>
        <v>34.411237184762747</v>
      </c>
      <c r="P51" s="37">
        <f t="shared" si="4"/>
        <v>37.937769681675924</v>
      </c>
      <c r="Q51" s="66">
        <f>P51-'Cohort Method (Elliot''s paper) '!P51</f>
        <v>-7.6089272987189815E-5</v>
      </c>
    </row>
    <row r="52" spans="1:17">
      <c r="A52" s="13" t="s">
        <v>52</v>
      </c>
      <c r="B52" s="10">
        <v>3.35723627358675E-3</v>
      </c>
      <c r="C52" s="10">
        <f>'Opioid Mortality - WONDER'!H50/100000</f>
        <v>2.3815999999999998E-4</v>
      </c>
      <c r="D52" s="10">
        <f t="shared" si="0"/>
        <v>3.1190762735867502E-3</v>
      </c>
      <c r="E52" s="22">
        <f t="shared" si="1"/>
        <v>3.1194481390982576E-3</v>
      </c>
      <c r="F52" s="11">
        <f>F51*(1-E51)</f>
        <v>95154.196183709239</v>
      </c>
      <c r="G52" s="11">
        <f t="shared" si="2"/>
        <v>296.8285802126623</v>
      </c>
      <c r="H52" s="11">
        <v>94460.828125</v>
      </c>
      <c r="I52" s="11">
        <v>94302.265625</v>
      </c>
      <c r="J52" s="34"/>
      <c r="K52" s="11">
        <f t="shared" si="8"/>
        <v>95005.781893602907</v>
      </c>
      <c r="L52" s="11">
        <v>3156103.5</v>
      </c>
      <c r="M52" s="11">
        <f>SUM(K52:K$89)</f>
        <v>3188372.0671907607</v>
      </c>
      <c r="N52" s="42">
        <v>33.411769866943359</v>
      </c>
      <c r="O52" s="46">
        <f t="shared" si="7"/>
        <v>33.507424738633041</v>
      </c>
      <c r="P52" s="37">
        <f t="shared" si="4"/>
        <v>34.937941884656311</v>
      </c>
      <c r="Q52" s="66">
        <f>P52-'Cohort Method (Elliot''s paper) '!P52</f>
        <v>-7.6305097188367199E-5</v>
      </c>
    </row>
    <row r="53" spans="1:17">
      <c r="A53" s="13" t="s">
        <v>53</v>
      </c>
      <c r="B53" s="10">
        <v>3.6819539964199066E-3</v>
      </c>
      <c r="C53" s="10">
        <f>'Opioid Mortality - WONDER'!H51/100000</f>
        <v>2.4019999999999998E-4</v>
      </c>
      <c r="D53" s="10">
        <f t="shared" si="0"/>
        <v>3.4417539964199067E-3</v>
      </c>
      <c r="E53" s="22">
        <f t="shared" si="1"/>
        <v>3.4421678925180554E-3</v>
      </c>
      <c r="F53" s="11">
        <f t="shared" si="5"/>
        <v>94857.367603496576</v>
      </c>
      <c r="G53" s="11">
        <f t="shared" si="2"/>
        <v>326.51498513353829</v>
      </c>
      <c r="H53" s="11">
        <v>94143.703125</v>
      </c>
      <c r="I53" s="11">
        <v>93970.390625</v>
      </c>
      <c r="J53" s="34"/>
      <c r="K53" s="11">
        <f t="shared" si="8"/>
        <v>94694.110110929803</v>
      </c>
      <c r="L53" s="11">
        <v>3061801.25</v>
      </c>
      <c r="M53" s="11">
        <f>SUM(K53:K$89)</f>
        <v>3093366.2852971586</v>
      </c>
      <c r="N53" s="42">
        <v>32.522636413574219</v>
      </c>
      <c r="O53" s="46">
        <f t="shared" si="7"/>
        <v>32.610711887213839</v>
      </c>
      <c r="P53" s="37">
        <f t="shared" si="4"/>
        <v>32.169566746871155</v>
      </c>
      <c r="Q53" s="66">
        <f>P53-'Cohort Method (Elliot''s paper) '!P53</f>
        <v>-7.654386865141305E-5</v>
      </c>
    </row>
    <row r="54" spans="1:17">
      <c r="A54" s="13" t="s">
        <v>54</v>
      </c>
      <c r="B54" s="10">
        <v>4.0296413935720921E-3</v>
      </c>
      <c r="C54" s="10">
        <f>'Opioid Mortality - WONDER'!H52/100000</f>
        <v>2.3548999999999998E-4</v>
      </c>
      <c r="D54" s="10">
        <f t="shared" si="0"/>
        <v>3.794151393572092E-3</v>
      </c>
      <c r="E54" s="22">
        <f t="shared" si="1"/>
        <v>3.794598772386526E-3</v>
      </c>
      <c r="F54" s="11">
        <f t="shared" si="5"/>
        <v>94530.852618363031</v>
      </c>
      <c r="G54" s="11">
        <f t="shared" si="2"/>
        <v>358.70665729829199</v>
      </c>
      <c r="H54" s="11">
        <v>93797.0703125</v>
      </c>
      <c r="I54" s="11">
        <v>93608.0859375</v>
      </c>
      <c r="J54" s="34"/>
      <c r="K54" s="11">
        <f t="shared" si="8"/>
        <v>94351.499289713887</v>
      </c>
      <c r="L54" s="11">
        <v>2967831</v>
      </c>
      <c r="M54" s="11">
        <f>SUM(K54:K$89)</f>
        <v>2998672.1751862285</v>
      </c>
      <c r="N54" s="42">
        <v>31.64097785949707</v>
      </c>
      <c r="O54" s="46">
        <f t="shared" si="7"/>
        <v>31.721624127229372</v>
      </c>
      <c r="P54" s="37">
        <f t="shared" si="4"/>
        <v>29.456049289223262</v>
      </c>
      <c r="Q54" s="66">
        <f>P54-'Cohort Method (Elliot''s paper) '!P54</f>
        <v>-6.2591186431149026E-5</v>
      </c>
    </row>
    <row r="55" spans="1:17">
      <c r="A55" s="13" t="s">
        <v>55</v>
      </c>
      <c r="B55" s="10">
        <v>4.4009480625391006E-3</v>
      </c>
      <c r="C55" s="10">
        <f>'Opioid Mortality - WONDER'!H53/100000</f>
        <v>2.4772999999999999E-4</v>
      </c>
      <c r="D55" s="10">
        <f t="shared" si="0"/>
        <v>4.1532180625391008E-3</v>
      </c>
      <c r="E55" s="22">
        <f t="shared" si="1"/>
        <v>4.1537332998555776E-3</v>
      </c>
      <c r="F55" s="11">
        <f t="shared" si="5"/>
        <v>94172.145961064743</v>
      </c>
      <c r="G55" s="11">
        <f t="shared" si="2"/>
        <v>391.16597859733457</v>
      </c>
      <c r="H55" s="11">
        <v>93419.1015625</v>
      </c>
      <c r="I55" s="11">
        <v>93213.53125</v>
      </c>
      <c r="J55" s="34"/>
      <c r="K55" s="11">
        <f t="shared" si="8"/>
        <v>93976.562971766078</v>
      </c>
      <c r="L55" s="11">
        <v>2874222.75</v>
      </c>
      <c r="M55" s="11">
        <f>SUM(K55:K$89)</f>
        <v>2904320.6758965142</v>
      </c>
      <c r="N55" s="42">
        <v>30.766969680786133</v>
      </c>
      <c r="O55" s="46">
        <f t="shared" si="7"/>
        <v>30.84054893574687</v>
      </c>
      <c r="P55" s="37">
        <f t="shared" si="4"/>
        <v>26.874822874409361</v>
      </c>
      <c r="Q55" s="66">
        <f>P55-'Cohort Method (Elliot''s paper) '!P55</f>
        <v>-6.2829602342162616E-5</v>
      </c>
    </row>
    <row r="56" spans="1:17">
      <c r="A56" s="13" t="s">
        <v>56</v>
      </c>
      <c r="B56" s="10">
        <v>4.8200725577771664E-3</v>
      </c>
      <c r="C56" s="10">
        <f>'Opioid Mortality - WONDER'!H54/100000</f>
        <v>2.2827000000000001E-4</v>
      </c>
      <c r="D56" s="10">
        <f t="shared" si="0"/>
        <v>4.5918025577771663E-3</v>
      </c>
      <c r="E56" s="22">
        <f t="shared" si="1"/>
        <v>4.5923275272651276E-3</v>
      </c>
      <c r="F56" s="11">
        <f t="shared" si="5"/>
        <v>93780.979982467412</v>
      </c>
      <c r="G56" s="11">
        <f t="shared" si="2"/>
        <v>430.67297590738502</v>
      </c>
      <c r="H56" s="11">
        <v>93007.96875</v>
      </c>
      <c r="I56" s="11">
        <v>92783.8125</v>
      </c>
      <c r="J56" s="34"/>
      <c r="K56" s="11">
        <f t="shared" si="8"/>
        <v>93565.64349451373</v>
      </c>
      <c r="L56" s="11">
        <v>2781009.25</v>
      </c>
      <c r="M56" s="11">
        <f>SUM(K56:K$89)</f>
        <v>2810344.1129247486</v>
      </c>
      <c r="N56" s="42">
        <v>29.900762557983398</v>
      </c>
      <c r="O56" s="46">
        <f t="shared" si="7"/>
        <v>29.967101148336788</v>
      </c>
      <c r="P56" s="37">
        <f t="shared" si="4"/>
        <v>24.230170126575437</v>
      </c>
      <c r="Q56" s="66">
        <f>P56-'Cohort Method (Elliot''s paper) '!P56</f>
        <v>-7.7566528506878285E-5</v>
      </c>
    </row>
    <row r="57" spans="1:17">
      <c r="A57" s="13" t="s">
        <v>57</v>
      </c>
      <c r="B57" s="10">
        <v>5.2849845960736275E-3</v>
      </c>
      <c r="C57" s="10">
        <f>'Opioid Mortality - WONDER'!H55/100000</f>
        <v>2.4474000000000002E-4</v>
      </c>
      <c r="D57" s="10">
        <f t="shared" si="0"/>
        <v>5.0402445960736272E-3</v>
      </c>
      <c r="E57" s="22">
        <f t="shared" si="1"/>
        <v>5.0408625107533078E-3</v>
      </c>
      <c r="F57" s="11">
        <f t="shared" si="5"/>
        <v>93350.307006560033</v>
      </c>
      <c r="G57" s="11">
        <f t="shared" si="2"/>
        <v>470.5660629566803</v>
      </c>
      <c r="H57" s="11">
        <v>92559.6640625</v>
      </c>
      <c r="I57" s="11">
        <v>92315.078125</v>
      </c>
      <c r="J57" s="34"/>
      <c r="K57" s="11">
        <f t="shared" si="8"/>
        <v>93115.023975081684</v>
      </c>
      <c r="L57" s="11">
        <v>2688225.5</v>
      </c>
      <c r="M57" s="11">
        <f>SUM(K57:K$89)</f>
        <v>2716778.4694302343</v>
      </c>
      <c r="N57" s="42">
        <v>29.043163299560547</v>
      </c>
      <c r="O57" s="46">
        <f t="shared" si="7"/>
        <v>29.103048040745247</v>
      </c>
      <c r="P57" s="37">
        <f t="shared" si="4"/>
        <v>21.872901717711553</v>
      </c>
      <c r="Q57" s="66">
        <f>P57-'Cohort Method (Elliot''s paper) '!P57</f>
        <v>-9.260718152503955E-5</v>
      </c>
    </row>
    <row r="58" spans="1:17">
      <c r="A58" s="13" t="s">
        <v>58</v>
      </c>
      <c r="B58" s="10">
        <v>5.7783392257988453E-3</v>
      </c>
      <c r="C58" s="10">
        <f>'Opioid Mortality - WONDER'!H56/100000</f>
        <v>2.4164000000000002E-4</v>
      </c>
      <c r="D58" s="10">
        <f t="shared" si="0"/>
        <v>5.5366992257988449E-3</v>
      </c>
      <c r="E58" s="22">
        <f t="shared" si="1"/>
        <v>5.5373695161156089E-3</v>
      </c>
      <c r="F58" s="11">
        <f t="shared" si="5"/>
        <v>92879.740943603349</v>
      </c>
      <c r="G58" s="11">
        <f t="shared" si="2"/>
        <v>514.30944616582394</v>
      </c>
      <c r="H58" s="11">
        <v>92070.484375</v>
      </c>
      <c r="I58" s="11">
        <v>91804.4765625</v>
      </c>
      <c r="J58" s="34"/>
      <c r="K58" s="11">
        <f t="shared" si="8"/>
        <v>92622.586220520447</v>
      </c>
      <c r="L58" s="11">
        <v>2595910.5</v>
      </c>
      <c r="M58" s="11">
        <f>SUM(K58:K$89)</f>
        <v>2623663.445455153</v>
      </c>
      <c r="N58" s="42">
        <v>28.194816589355469</v>
      </c>
      <c r="O58" s="46">
        <f t="shared" si="7"/>
        <v>28.247962567512364</v>
      </c>
      <c r="P58" s="37">
        <f t="shared" si="4"/>
        <v>19.41156852180583</v>
      </c>
      <c r="Q58" s="66">
        <f>P58-'Cohort Method (Elliot''s paper) '!P58</f>
        <v>-7.8299529096881315E-5</v>
      </c>
    </row>
    <row r="59" spans="1:17">
      <c r="A59" s="13" t="s">
        <v>59</v>
      </c>
      <c r="B59" s="10">
        <v>6.2836850993335247E-3</v>
      </c>
      <c r="C59" s="10">
        <f>'Opioid Mortality - WONDER'!H57/100000</f>
        <v>2.3112E-4</v>
      </c>
      <c r="D59" s="10">
        <f t="shared" si="0"/>
        <v>6.0525650993335251E-3</v>
      </c>
      <c r="E59" s="22">
        <f t="shared" si="1"/>
        <v>6.0532660575278729E-3</v>
      </c>
      <c r="F59" s="11">
        <f t="shared" si="5"/>
        <v>92365.43149743753</v>
      </c>
      <c r="G59" s="11">
        <f t="shared" si="2"/>
        <v>559.11253137235451</v>
      </c>
      <c r="H59" s="11">
        <v>91538.46875</v>
      </c>
      <c r="I59" s="11">
        <v>91250.875</v>
      </c>
      <c r="J59" s="34"/>
      <c r="K59" s="11">
        <f t="shared" si="8"/>
        <v>92085.875231751343</v>
      </c>
      <c r="L59" s="11">
        <v>2504106</v>
      </c>
      <c r="M59" s="11">
        <f>SUM(K59:K$89)</f>
        <v>2531040.8592346325</v>
      </c>
      <c r="N59" s="42">
        <v>27.355777740478516</v>
      </c>
      <c r="O59" s="46">
        <f t="shared" si="7"/>
        <v>27.402468847935285</v>
      </c>
      <c r="P59" s="37">
        <f t="shared" si="4"/>
        <v>17.053926998585148</v>
      </c>
      <c r="Q59" s="66">
        <f>P59-'Cohort Method (Elliot''s paper) '!P59</f>
        <v>-7.8735515458561167E-5</v>
      </c>
    </row>
    <row r="60" spans="1:17">
      <c r="A60" s="13" t="s">
        <v>60</v>
      </c>
      <c r="B60" s="10">
        <v>6.7942789755761623E-3</v>
      </c>
      <c r="C60" s="10">
        <f>'Opioid Mortality - WONDER'!H58/100000</f>
        <v>2.1271999999999998E-4</v>
      </c>
      <c r="D60" s="10">
        <f t="shared" si="0"/>
        <v>6.5815589755761628E-3</v>
      </c>
      <c r="E60" s="22">
        <f t="shared" si="1"/>
        <v>6.5822606308539866E-3</v>
      </c>
      <c r="F60" s="11">
        <f t="shared" si="5"/>
        <v>91806.31896606517</v>
      </c>
      <c r="G60" s="11">
        <f t="shared" si="2"/>
        <v>604.29311899395441</v>
      </c>
      <c r="H60" s="11">
        <v>90963.2734375</v>
      </c>
      <c r="I60" s="11">
        <v>90654.2578125</v>
      </c>
      <c r="J60" s="34"/>
      <c r="K60" s="11">
        <f t="shared" si="8"/>
        <v>91504.172406568192</v>
      </c>
      <c r="L60" s="11">
        <v>2412855</v>
      </c>
      <c r="M60" s="11">
        <f>SUM(K60:K$89)</f>
        <v>2438954.9840028808</v>
      </c>
      <c r="N60" s="42">
        <v>26.525594711303711</v>
      </c>
      <c r="O60" s="46">
        <f t="shared" si="7"/>
        <v>26.566308413960087</v>
      </c>
      <c r="P60" s="37">
        <f t="shared" si="4"/>
        <v>14.870679895241324</v>
      </c>
      <c r="Q60" s="66">
        <f>P60-'Cohort Method (Elliot''s paper) '!P60</f>
        <v>-6.4108608743396189E-5</v>
      </c>
    </row>
    <row r="61" spans="1:17">
      <c r="A61" s="13" t="s">
        <v>61</v>
      </c>
      <c r="B61" s="10">
        <v>7.3187043890357018E-3</v>
      </c>
      <c r="C61" s="10">
        <f>'Opioid Mortality - WONDER'!H59/100000</f>
        <v>2.0873999999999998E-4</v>
      </c>
      <c r="D61" s="10">
        <f t="shared" si="0"/>
        <v>7.109964389035702E-3</v>
      </c>
      <c r="E61" s="22">
        <f t="shared" si="1"/>
        <v>7.1107083249164482E-3</v>
      </c>
      <c r="F61" s="11">
        <f t="shared" si="5"/>
        <v>91202.025847071214</v>
      </c>
      <c r="G61" s="11">
        <f t="shared" si="2"/>
        <v>648.5110044400144</v>
      </c>
      <c r="H61" s="11">
        <v>90345.2421875</v>
      </c>
      <c r="I61" s="11">
        <v>90014.640625</v>
      </c>
      <c r="J61" s="34"/>
      <c r="K61" s="11">
        <f t="shared" si="8"/>
        <v>90877.770344851204</v>
      </c>
      <c r="L61" s="11">
        <v>2322200.75</v>
      </c>
      <c r="M61" s="11">
        <f>SUM(K61:K$89)</f>
        <v>2347450.8115963126</v>
      </c>
      <c r="N61" s="42">
        <v>25.703630447387695</v>
      </c>
      <c r="O61" s="46">
        <f t="shared" si="7"/>
        <v>25.739020485493928</v>
      </c>
      <c r="P61" s="37">
        <f t="shared" si="4"/>
        <v>12.926211418301392</v>
      </c>
      <c r="Q61" s="66">
        <f>P61-'Cohort Method (Elliot''s paper) '!P61</f>
        <v>-6.4533383596909744E-5</v>
      </c>
    </row>
    <row r="62" spans="1:17">
      <c r="A62" s="13" t="s">
        <v>62</v>
      </c>
      <c r="B62" s="10">
        <v>7.8689772635698318E-3</v>
      </c>
      <c r="C62" s="10">
        <f>'Opioid Mortality - WONDER'!H60/100000</f>
        <v>2.0018999999999999E-4</v>
      </c>
      <c r="D62" s="10">
        <f t="shared" si="0"/>
        <v>7.6687872635698316E-3</v>
      </c>
      <c r="E62" s="22">
        <f t="shared" si="1"/>
        <v>7.6695569437474909E-3</v>
      </c>
      <c r="F62" s="11">
        <f t="shared" si="5"/>
        <v>90553.514842631193</v>
      </c>
      <c r="G62" s="11">
        <f t="shared" si="2"/>
        <v>694.50533854204355</v>
      </c>
      <c r="H62" s="11">
        <v>89684.03125</v>
      </c>
      <c r="I62" s="11">
        <v>89331.171875</v>
      </c>
      <c r="J62" s="34"/>
      <c r="K62" s="11">
        <f t="shared" si="8"/>
        <v>90206.26217336017</v>
      </c>
      <c r="L62" s="11">
        <v>2232186.25</v>
      </c>
      <c r="M62" s="11">
        <f>SUM(K62:K$89)</f>
        <v>2256573.0412514615</v>
      </c>
      <c r="N62" s="42">
        <v>24.889450073242188</v>
      </c>
      <c r="O62" s="46">
        <f t="shared" si="7"/>
        <v>24.919773077533836</v>
      </c>
      <c r="P62" s="37">
        <f t="shared" si="4"/>
        <v>11.075477317524765</v>
      </c>
      <c r="Q62" s="66">
        <f>P62-'Cohort Method (Elliot''s paper) '!P62</f>
        <v>-4.9542210454944779E-5</v>
      </c>
    </row>
    <row r="63" spans="1:17">
      <c r="A63" s="13" t="s">
        <v>63</v>
      </c>
      <c r="B63" s="10">
        <v>8.4562739357352257E-3</v>
      </c>
      <c r="C63" s="10">
        <f>'Opioid Mortality - WONDER'!H61/100000</f>
        <v>1.738E-4</v>
      </c>
      <c r="D63" s="10">
        <f t="shared" si="0"/>
        <v>8.2824739357352257E-3</v>
      </c>
      <c r="E63" s="22">
        <f t="shared" si="1"/>
        <v>8.2831957620999042E-3</v>
      </c>
      <c r="F63" s="11">
        <f t="shared" si="5"/>
        <v>89859.009504089147</v>
      </c>
      <c r="G63" s="11">
        <f t="shared" si="2"/>
        <v>744.3197667107662</v>
      </c>
      <c r="H63" s="11">
        <v>88978.3125</v>
      </c>
      <c r="I63" s="11">
        <v>88602.1015625</v>
      </c>
      <c r="J63" s="34"/>
      <c r="K63" s="11">
        <f t="shared" si="8"/>
        <v>89486.849620733774</v>
      </c>
      <c r="L63" s="11">
        <v>2142855</v>
      </c>
      <c r="M63" s="11">
        <f>SUM(K63:K$89)</f>
        <v>2166366.7790781017</v>
      </c>
      <c r="N63" s="42">
        <v>24.082891464233398</v>
      </c>
      <c r="O63" s="46">
        <f t="shared" si="7"/>
        <v>24.10850944200001</v>
      </c>
      <c r="P63" s="37">
        <f t="shared" si="4"/>
        <v>9.3569663792547537</v>
      </c>
      <c r="Q63" s="66">
        <f>P63-'Cohort Method (Elliot''s paper) '!P63</f>
        <v>-4.9925110829462938E-5</v>
      </c>
    </row>
    <row r="64" spans="1:17">
      <c r="A64" s="13" t="s">
        <v>64</v>
      </c>
      <c r="B64" s="10">
        <v>9.0925619006156921E-3</v>
      </c>
      <c r="C64" s="10">
        <f>'Opioid Mortality - WONDER'!H62/100000</f>
        <v>1.6071000000000002E-4</v>
      </c>
      <c r="D64" s="10">
        <f t="shared" si="0"/>
        <v>8.9318519006156925E-3</v>
      </c>
      <c r="E64" s="22">
        <f t="shared" si="1"/>
        <v>8.9325718435340207E-3</v>
      </c>
      <c r="F64" s="11">
        <f t="shared" si="5"/>
        <v>89114.689737378387</v>
      </c>
      <c r="G64" s="11">
        <f t="shared" si="2"/>
        <v>796.02336839337636</v>
      </c>
      <c r="H64" s="11">
        <v>88225.890625</v>
      </c>
      <c r="I64" s="11">
        <v>87824.7890625</v>
      </c>
      <c r="J64" s="34"/>
      <c r="K64" s="11">
        <f t="shared" si="8"/>
        <v>88716.678053181691</v>
      </c>
      <c r="L64" s="11">
        <v>2054252.875</v>
      </c>
      <c r="M64" s="11">
        <f>SUM(K64:K$89)</f>
        <v>2076879.9294573676</v>
      </c>
      <c r="N64" s="42">
        <v>23.284013748168945</v>
      </c>
      <c r="O64" s="46">
        <f t="shared" si="7"/>
        <v>23.305696687919212</v>
      </c>
      <c r="P64" s="37">
        <f t="shared" si="4"/>
        <v>7.9196937437850723</v>
      </c>
      <c r="Q64" s="66">
        <f>P64-'Cohort Method (Elliot''s paper) '!P64</f>
        <v>-5.0342107695833249E-5</v>
      </c>
    </row>
    <row r="65" spans="1:17">
      <c r="A65" s="13" t="s">
        <v>65</v>
      </c>
      <c r="B65" s="10">
        <v>9.7675202414393425E-3</v>
      </c>
      <c r="C65" s="10">
        <f>'Opioid Mortality - WONDER'!H63/100000</f>
        <v>1.4296999999999999E-4</v>
      </c>
      <c r="D65" s="10">
        <f t="shared" si="0"/>
        <v>9.6245502414393433E-3</v>
      </c>
      <c r="E65" s="22">
        <f t="shared" si="1"/>
        <v>9.6252405365029325E-3</v>
      </c>
      <c r="F65" s="11">
        <f t="shared" si="5"/>
        <v>88318.66636898501</v>
      </c>
      <c r="G65" s="11">
        <f t="shared" si="2"/>
        <v>850.08840766463277</v>
      </c>
      <c r="H65" s="11">
        <v>87423.6875</v>
      </c>
      <c r="I65" s="11">
        <v>86996.734375</v>
      </c>
      <c r="J65" s="34"/>
      <c r="K65" s="11">
        <f t="shared" si="8"/>
        <v>87893.622165152701</v>
      </c>
      <c r="L65" s="11">
        <v>1966428.125</v>
      </c>
      <c r="M65" s="11">
        <f>SUM(K65:K$89)</f>
        <v>1988163.251404186</v>
      </c>
      <c r="N65" s="42">
        <v>22.493082046508789</v>
      </c>
      <c r="O65" s="46">
        <f t="shared" si="7"/>
        <v>22.511246298691532</v>
      </c>
      <c r="P65" s="37">
        <f t="shared" si="4"/>
        <v>6.6344931097467921</v>
      </c>
      <c r="Q65" s="66">
        <f>P65-'Cohort Method (Elliot''s paper) '!P65</f>
        <v>-5.0795845620399405E-5</v>
      </c>
    </row>
    <row r="66" spans="1:17">
      <c r="A66" s="13" t="s">
        <v>66</v>
      </c>
      <c r="B66" s="10">
        <v>1.0466912761330605E-2</v>
      </c>
      <c r="C66" s="10">
        <f>'Opioid Mortality - WONDER'!H64/100000</f>
        <v>1.3061E-4</v>
      </c>
      <c r="D66" s="10">
        <f t="shared" si="0"/>
        <v>1.0336302761330605E-2</v>
      </c>
      <c r="E66" s="22">
        <f t="shared" si="1"/>
        <v>1.0336980170705057E-2</v>
      </c>
      <c r="F66" s="11">
        <f t="shared" si="5"/>
        <v>87468.577961320378</v>
      </c>
      <c r="G66" s="11">
        <f t="shared" si="2"/>
        <v>904.1609559459381</v>
      </c>
      <c r="H66" s="11">
        <v>86569.7734375</v>
      </c>
      <c r="I66" s="11">
        <v>86116.71875</v>
      </c>
      <c r="J66" s="34"/>
      <c r="K66" s="11">
        <f t="shared" si="8"/>
        <v>87016.497483347412</v>
      </c>
      <c r="L66" s="11">
        <v>1879431.375</v>
      </c>
      <c r="M66" s="11">
        <f>SUM(K66:K$89)</f>
        <v>1900269.6292390334</v>
      </c>
      <c r="N66" s="42">
        <v>21.710018157958984</v>
      </c>
      <c r="O66" s="46">
        <f t="shared" si="7"/>
        <v>21.725168895272937</v>
      </c>
      <c r="P66" s="37">
        <f t="shared" si="4"/>
        <v>5.5338068039210899</v>
      </c>
      <c r="Q66" s="66">
        <f>P66-'Cohort Method (Elliot''s paper) '!P66</f>
        <v>-3.5050935780489567E-5</v>
      </c>
    </row>
    <row r="67" spans="1:17">
      <c r="A67" s="13" t="s">
        <v>67</v>
      </c>
      <c r="B67" s="10">
        <v>1.1180669069290161E-2</v>
      </c>
      <c r="C67" s="10">
        <f>'Opioid Mortality - WONDER'!H65/100000</f>
        <v>1.1326000000000001E-4</v>
      </c>
      <c r="D67" s="10">
        <f t="shared" si="0"/>
        <v>1.1067409069290161E-2</v>
      </c>
      <c r="E67" s="22">
        <f t="shared" si="1"/>
        <v>1.1068038189492868E-2</v>
      </c>
      <c r="F67" s="11">
        <f t="shared" si="5"/>
        <v>86564.417005374446</v>
      </c>
      <c r="G67" s="11">
        <f t="shared" si="2"/>
        <v>958.09827326667028</v>
      </c>
      <c r="H67" s="11">
        <v>85663.65625</v>
      </c>
      <c r="I67" s="11">
        <v>85184.765625</v>
      </c>
      <c r="J67" s="34"/>
      <c r="K67" s="11">
        <f t="shared" si="8"/>
        <v>86085.367868741101</v>
      </c>
      <c r="L67" s="11">
        <v>1793314.625</v>
      </c>
      <c r="M67" s="11">
        <f>SUM(K67:K$89)</f>
        <v>1813253.1317556859</v>
      </c>
      <c r="N67" s="42">
        <v>20.934370040893555</v>
      </c>
      <c r="O67" s="46">
        <f t="shared" si="7"/>
        <v>20.946864710509264</v>
      </c>
      <c r="P67" s="37">
        <f t="shared" si="4"/>
        <v>4.5636780771376708</v>
      </c>
      <c r="Q67" s="66">
        <f>P67-'Cohort Method (Elliot''s paper) '!P67</f>
        <v>-1.8970588929079213E-5</v>
      </c>
    </row>
    <row r="68" spans="1:17">
      <c r="A68" s="13" t="s">
        <v>68</v>
      </c>
      <c r="B68" s="10">
        <v>1.192191056907177E-2</v>
      </c>
      <c r="C68" s="10">
        <f>'Opioid Mortality - WONDER'!H66/100000</f>
        <v>1.0590999999999999E-4</v>
      </c>
      <c r="D68" s="10">
        <f t="shared" si="0"/>
        <v>1.1816000569071769E-2</v>
      </c>
      <c r="E68" s="22">
        <f t="shared" si="1"/>
        <v>1.1816628809178886E-2</v>
      </c>
      <c r="F68" s="11">
        <f t="shared" si="5"/>
        <v>85606.318732107771</v>
      </c>
      <c r="G68" s="11">
        <f t="shared" si="2"/>
        <v>1011.5780921775748</v>
      </c>
      <c r="H68" s="11">
        <v>84705.8828125</v>
      </c>
      <c r="I68" s="11">
        <v>84200.953125</v>
      </c>
      <c r="J68" s="34"/>
      <c r="K68" s="11">
        <f t="shared" si="8"/>
        <v>85100.529686018985</v>
      </c>
      <c r="L68" s="11">
        <v>1708129.875</v>
      </c>
      <c r="M68" s="11">
        <f>SUM(K68:K$89)</f>
        <v>1727167.7638869449</v>
      </c>
      <c r="N68" s="42">
        <v>20.165422439575195</v>
      </c>
      <c r="O68" s="46">
        <f t="shared" ref="O68:O89" si="9">M68/F68</f>
        <v>20.175704194124492</v>
      </c>
      <c r="P68" s="37">
        <f t="shared" si="4"/>
        <v>3.7554108491306586</v>
      </c>
      <c r="Q68" s="66">
        <f>P68-'Cohort Method (Elliot''s paper) '!P68</f>
        <v>-3.5855059398848255E-5</v>
      </c>
    </row>
    <row r="69" spans="1:17">
      <c r="A69" s="13" t="s">
        <v>69</v>
      </c>
      <c r="B69" s="10">
        <v>1.2710461392998695E-2</v>
      </c>
      <c r="C69" s="10">
        <f>'Opioid Mortality - WONDER'!H67/100000</f>
        <v>8.632E-5</v>
      </c>
      <c r="D69" s="10">
        <f t="shared" ref="D69:D89" si="10">B69-C69</f>
        <v>1.2624141392998695E-2</v>
      </c>
      <c r="E69" s="22">
        <f t="shared" ref="E69:E89" si="11">1-(1-B69)^(D69/B69)</f>
        <v>1.2624688590018751E-2</v>
      </c>
      <c r="F69" s="11">
        <f t="shared" si="5"/>
        <v>84594.740639930198</v>
      </c>
      <c r="G69" s="11">
        <f t="shared" ref="G69:G88" si="12">F69*E69</f>
        <v>1067.9822569325222</v>
      </c>
      <c r="H69" s="11">
        <v>83696.0234375</v>
      </c>
      <c r="I69" s="11">
        <v>83164.1171875</v>
      </c>
      <c r="J69" s="34"/>
      <c r="K69" s="11">
        <f t="shared" ref="K69:K88" si="13">1*(F69-G69)+0.5*1*G69</f>
        <v>84060.749511463946</v>
      </c>
      <c r="L69" s="11">
        <v>1623929</v>
      </c>
      <c r="M69" s="11">
        <f>SUM(K69:K$89)</f>
        <v>1642067.234200926</v>
      </c>
      <c r="N69" s="42">
        <v>19.402702331542969</v>
      </c>
      <c r="O69" s="46">
        <f t="shared" si="9"/>
        <v>19.410984912055415</v>
      </c>
      <c r="P69" s="37">
        <f t="shared" ref="P69:P89" si="14">(O69-N69)*365.25</f>
        <v>3.0252125321710688</v>
      </c>
      <c r="Q69" s="66">
        <f>P69-'Cohort Method (Elliot''s paper) '!P69</f>
        <v>-3.6283811483350803E-5</v>
      </c>
    </row>
    <row r="70" spans="1:17">
      <c r="A70" s="13" t="s">
        <v>70</v>
      </c>
      <c r="B70" s="10">
        <v>1.3621198944747448E-2</v>
      </c>
      <c r="C70" s="10">
        <f>'Opioid Mortality - WONDER'!H68/100000</f>
        <v>7.4469999999999997E-5</v>
      </c>
      <c r="D70" s="10">
        <f t="shared" si="10"/>
        <v>1.3546728944747448E-2</v>
      </c>
      <c r="E70" s="22">
        <f t="shared" si="11"/>
        <v>1.3547235675810954E-2</v>
      </c>
      <c r="F70" s="11">
        <f t="shared" ref="F70:F88" si="15">F69*(1-E69)</f>
        <v>83526.758382997679</v>
      </c>
      <c r="G70" s="11">
        <f t="shared" si="12"/>
        <v>1131.5566810509879</v>
      </c>
      <c r="H70" s="11">
        <v>82632.2109375</v>
      </c>
      <c r="I70" s="11">
        <v>82069.4375</v>
      </c>
      <c r="J70" s="34"/>
      <c r="K70" s="11">
        <f t="shared" si="13"/>
        <v>82960.980042472176</v>
      </c>
      <c r="L70" s="11">
        <v>1540764.875</v>
      </c>
      <c r="M70" s="11">
        <f>SUM(K70:K$89)</f>
        <v>1558006.484689462</v>
      </c>
      <c r="N70" s="42">
        <v>18.64605712890625</v>
      </c>
      <c r="O70" s="46">
        <f t="shared" si="9"/>
        <v>18.652782830928139</v>
      </c>
      <c r="P70" s="37">
        <f t="shared" si="14"/>
        <v>2.4565626634949336</v>
      </c>
      <c r="Q70" s="66">
        <f>P70-'Cohort Method (Elliot''s paper) '!P70</f>
        <v>-3.6747740983500421E-5</v>
      </c>
    </row>
    <row r="71" spans="1:17">
      <c r="A71" s="13" t="s">
        <v>71</v>
      </c>
      <c r="B71" s="10">
        <v>1.4620319940149784E-2</v>
      </c>
      <c r="C71" s="10">
        <f>'Opioid Mortality - WONDER'!H69/100000</f>
        <v>6.0979999999999996E-5</v>
      </c>
      <c r="D71" s="10">
        <f t="shared" si="10"/>
        <v>1.4559339940149784E-2</v>
      </c>
      <c r="E71" s="22">
        <f t="shared" si="11"/>
        <v>1.4559786042892431E-2</v>
      </c>
      <c r="F71" s="11">
        <f t="shared" si="15"/>
        <v>82395.201701946688</v>
      </c>
      <c r="G71" s="11">
        <f t="shared" si="12"/>
        <v>1199.65650774131</v>
      </c>
      <c r="H71" s="11">
        <v>81506.6640625</v>
      </c>
      <c r="I71" s="11">
        <v>80910.8359375</v>
      </c>
      <c r="J71" s="34"/>
      <c r="K71" s="11">
        <f t="shared" si="13"/>
        <v>81795.373448076032</v>
      </c>
      <c r="L71" s="11">
        <v>1458695.375</v>
      </c>
      <c r="M71" s="11">
        <f>SUM(K71:K$89)</f>
        <v>1475045.50464699</v>
      </c>
      <c r="N71" s="42">
        <v>17.896638870239258</v>
      </c>
      <c r="O71" s="46">
        <f t="shared" si="9"/>
        <v>17.902080147613017</v>
      </c>
      <c r="P71" s="37">
        <f t="shared" si="14"/>
        <v>1.9874265607654307</v>
      </c>
      <c r="Q71" s="66">
        <f>P71-'Cohort Method (Elliot''s paper) '!P71</f>
        <v>-3.7252408238153123E-5</v>
      </c>
    </row>
    <row r="72" spans="1:17">
      <c r="A72" s="13" t="s">
        <v>72</v>
      </c>
      <c r="B72" s="10">
        <v>1.5770327299833298E-2</v>
      </c>
      <c r="C72" s="10">
        <f>'Opioid Mortality - WONDER'!H70/100000</f>
        <v>5.2899999999999998E-5</v>
      </c>
      <c r="D72" s="10">
        <f t="shared" si="10"/>
        <v>1.5717427299833296E-2</v>
      </c>
      <c r="E72" s="22">
        <f t="shared" si="11"/>
        <v>1.5717845235978745E-2</v>
      </c>
      <c r="F72" s="11">
        <f t="shared" si="15"/>
        <v>81195.545194205377</v>
      </c>
      <c r="G72" s="11">
        <f t="shared" si="12"/>
        <v>1276.2190132134378</v>
      </c>
      <c r="H72" s="11">
        <v>80315.0078125</v>
      </c>
      <c r="I72" s="11">
        <v>79681.7109375</v>
      </c>
      <c r="J72" s="34"/>
      <c r="K72" s="11">
        <f t="shared" si="13"/>
        <v>80557.435687598656</v>
      </c>
      <c r="L72" s="11">
        <v>1377784.5</v>
      </c>
      <c r="M72" s="11">
        <f>SUM(K72:K$89)</f>
        <v>1393250.1311989138</v>
      </c>
      <c r="N72" s="42">
        <v>17.154758453369141</v>
      </c>
      <c r="O72" s="46">
        <f t="shared" si="9"/>
        <v>17.159194237399429</v>
      </c>
      <c r="P72" s="37">
        <f t="shared" si="14"/>
        <v>1.6201701170629326</v>
      </c>
      <c r="Q72" s="66">
        <f>P72-'Cohort Method (Elliot''s paper) '!P72</f>
        <v>-3.780281041532163E-5</v>
      </c>
    </row>
    <row r="73" spans="1:17">
      <c r="A73" s="13" t="s">
        <v>73</v>
      </c>
      <c r="B73" s="10">
        <v>1.7100013792514801E-2</v>
      </c>
      <c r="C73" s="10">
        <f>'Opioid Mortality - WONDER'!H71/100000</f>
        <v>4.8369999999999999E-5</v>
      </c>
      <c r="D73" s="10">
        <f t="shared" si="10"/>
        <v>1.7051643792514802E-2</v>
      </c>
      <c r="E73" s="22">
        <f t="shared" si="11"/>
        <v>1.7052058564209882E-2</v>
      </c>
      <c r="F73" s="11">
        <f t="shared" si="15"/>
        <v>79919.326180991935</v>
      </c>
      <c r="G73" s="11">
        <f t="shared" si="12"/>
        <v>1362.7890304504665</v>
      </c>
      <c r="H73" s="11">
        <v>79048.4140625</v>
      </c>
      <c r="I73" s="11">
        <v>78372.546875</v>
      </c>
      <c r="J73" s="34"/>
      <c r="K73" s="11">
        <f t="shared" si="13"/>
        <v>79237.931665766693</v>
      </c>
      <c r="L73" s="11">
        <v>1298102.875</v>
      </c>
      <c r="M73" s="11">
        <f>SUM(K73:K$89)</f>
        <v>1312692.695511315</v>
      </c>
      <c r="N73" s="42">
        <v>16.42161750793457</v>
      </c>
      <c r="O73" s="46">
        <f t="shared" si="9"/>
        <v>16.42522226149007</v>
      </c>
      <c r="P73" s="37">
        <f t="shared" si="14"/>
        <v>1.3166362361463531</v>
      </c>
      <c r="Q73" s="66">
        <f>P73-'Cohort Method (Elliot''s paper) '!P73</f>
        <v>-3.8406478951813483E-5</v>
      </c>
    </row>
    <row r="74" spans="1:17">
      <c r="A74" s="13" t="s">
        <v>74</v>
      </c>
      <c r="B74" s="10">
        <v>1.8428446725010872E-2</v>
      </c>
      <c r="C74" s="10">
        <f>'Opioid Mortality - WONDER'!H72/100000</f>
        <v>2.9780000000000003E-5</v>
      </c>
      <c r="D74" s="10">
        <f t="shared" si="10"/>
        <v>1.8398666725010872E-2</v>
      </c>
      <c r="E74" s="22">
        <f t="shared" si="11"/>
        <v>1.8398942382457983E-2</v>
      </c>
      <c r="F74" s="11">
        <f t="shared" si="15"/>
        <v>78556.537150541466</v>
      </c>
      <c r="G74" s="11">
        <f t="shared" si="12"/>
        <v>1445.3572007982325</v>
      </c>
      <c r="H74" s="11">
        <v>77696.6875</v>
      </c>
      <c r="I74" s="11">
        <v>76980.7734375</v>
      </c>
      <c r="J74" s="34"/>
      <c r="K74" s="11">
        <f t="shared" si="13"/>
        <v>77833.858550142351</v>
      </c>
      <c r="L74" s="11">
        <v>1219730.25</v>
      </c>
      <c r="M74" s="11">
        <f>SUM(K74:K$89)</f>
        <v>1233454.7638455483</v>
      </c>
      <c r="N74" s="42">
        <v>15.698613166809082</v>
      </c>
      <c r="O74" s="46">
        <f t="shared" si="9"/>
        <v>15.701491035454158</v>
      </c>
      <c r="P74" s="37">
        <f t="shared" si="14"/>
        <v>1.0511415226138867</v>
      </c>
      <c r="Q74" s="66">
        <f>P74-'Cohort Method (Elliot''s paper) '!P74</f>
        <v>-5.7383565756463639E-5</v>
      </c>
    </row>
    <row r="75" spans="1:17">
      <c r="A75" s="13" t="s">
        <v>75</v>
      </c>
      <c r="B75" s="10">
        <v>2.0316941663622856E-2</v>
      </c>
      <c r="C75" s="10">
        <f>'Opioid Mortality - WONDER'!H73/100000</f>
        <v>3.1919999999999999E-5</v>
      </c>
      <c r="D75" s="10">
        <f t="shared" si="10"/>
        <v>2.0285021663622855E-2</v>
      </c>
      <c r="E75" s="22">
        <f t="shared" si="11"/>
        <v>2.0285347631144091E-2</v>
      </c>
      <c r="F75" s="11">
        <f t="shared" si="15"/>
        <v>77111.179949743237</v>
      </c>
      <c r="G75" s="11">
        <f t="shared" si="12"/>
        <v>1564.2270915282497</v>
      </c>
      <c r="H75" s="11">
        <v>76264.859375</v>
      </c>
      <c r="I75" s="11">
        <v>75490.125</v>
      </c>
      <c r="J75" s="34"/>
      <c r="K75" s="11">
        <f t="shared" si="13"/>
        <v>76329.066403979115</v>
      </c>
      <c r="L75" s="11">
        <v>1142749.5</v>
      </c>
      <c r="M75" s="11">
        <f>SUM(K75:K$89)</f>
        <v>1155620.905295406</v>
      </c>
      <c r="N75" s="42">
        <v>14.98395824432373</v>
      </c>
      <c r="O75" s="46">
        <f t="shared" si="9"/>
        <v>14.986424874429041</v>
      </c>
      <c r="P75" s="37">
        <f t="shared" si="14"/>
        <v>0.90093664596456158</v>
      </c>
      <c r="Q75" s="66">
        <f>P75-'Cohort Method (Elliot''s paper) '!P75</f>
        <v>-5.8459152644019241E-5</v>
      </c>
    </row>
    <row r="76" spans="1:17">
      <c r="A76" s="13" t="s">
        <v>76</v>
      </c>
      <c r="B76" s="10">
        <v>2.2101905196905136E-2</v>
      </c>
      <c r="C76" s="10">
        <f>'Opioid Mortality - WONDER'!H74/100000</f>
        <v>3.2929999999999998E-5</v>
      </c>
      <c r="D76" s="10">
        <f t="shared" si="10"/>
        <v>2.2068975196905136E-2</v>
      </c>
      <c r="E76" s="22">
        <f t="shared" si="11"/>
        <v>2.2069341273644016E-2</v>
      </c>
      <c r="F76" s="11">
        <f t="shared" si="15"/>
        <v>75546.952858214994</v>
      </c>
      <c r="G76" s="11">
        <f t="shared" si="12"/>
        <v>1667.271484811843</v>
      </c>
      <c r="H76" s="11">
        <v>74715.390625</v>
      </c>
      <c r="I76" s="11">
        <v>73889.71875</v>
      </c>
      <c r="J76" s="34"/>
      <c r="K76" s="11">
        <f t="shared" si="13"/>
        <v>74713.31711580907</v>
      </c>
      <c r="L76" s="11">
        <v>1067259.375</v>
      </c>
      <c r="M76" s="11">
        <f>SUM(K76:K$89)</f>
        <v>1079291.8388914266</v>
      </c>
      <c r="N76" s="42">
        <v>14.284331321716309</v>
      </c>
      <c r="O76" s="46">
        <f t="shared" si="9"/>
        <v>14.286371561762655</v>
      </c>
      <c r="P76" s="37">
        <f t="shared" si="14"/>
        <v>0.74519767692802175</v>
      </c>
      <c r="Q76" s="66">
        <f>P76-'Cohort Method (Elliot''s paper) '!P76</f>
        <v>-5.9669571585097003E-5</v>
      </c>
    </row>
    <row r="77" spans="1:17">
      <c r="A77" s="13" t="s">
        <v>77</v>
      </c>
      <c r="B77" s="10">
        <v>2.4193743243813515E-2</v>
      </c>
      <c r="C77" s="10">
        <f>'Opioid Mortality - WONDER'!H75/100000</f>
        <v>1.9380000000000001E-5</v>
      </c>
      <c r="D77" s="10">
        <f t="shared" si="10"/>
        <v>2.4174363243813515E-2</v>
      </c>
      <c r="E77" s="22">
        <f t="shared" si="11"/>
        <v>2.4174599407248976E-2</v>
      </c>
      <c r="F77" s="11">
        <f t="shared" si="15"/>
        <v>73879.681373403146</v>
      </c>
      <c r="G77" s="11">
        <f t="shared" si="12"/>
        <v>1786.0117015372148</v>
      </c>
      <c r="H77" s="11">
        <v>73064.0390625</v>
      </c>
      <c r="I77" s="11">
        <v>72180.1875</v>
      </c>
      <c r="J77" s="34"/>
      <c r="K77" s="11">
        <f t="shared" si="13"/>
        <v>72986.675522634541</v>
      </c>
      <c r="L77" s="11">
        <v>993369.6875</v>
      </c>
      <c r="M77" s="11">
        <f>SUM(K77:K$89)</f>
        <v>1004578.5217756178</v>
      </c>
      <c r="N77" s="42">
        <v>13.595876693725586</v>
      </c>
      <c r="O77" s="46">
        <f t="shared" si="9"/>
        <v>13.597493967228566</v>
      </c>
      <c r="P77" s="37">
        <f t="shared" si="14"/>
        <v>0.59070914696337162</v>
      </c>
      <c r="Q77" s="66">
        <f>P77-'Cohort Method (Elliot''s paper) '!P77</f>
        <v>-4.1518067284140869E-5</v>
      </c>
    </row>
    <row r="78" spans="1:17">
      <c r="A78" s="13" t="s">
        <v>78</v>
      </c>
      <c r="B78" s="10">
        <v>2.6342058554291725E-2</v>
      </c>
      <c r="C78" s="10">
        <f>'Opioid Mortality - WONDER'!H76/100000</f>
        <v>1.8660000000000001E-5</v>
      </c>
      <c r="D78" s="10">
        <f t="shared" si="10"/>
        <v>2.6323398554291725E-2</v>
      </c>
      <c r="E78" s="22">
        <f t="shared" si="11"/>
        <v>2.6323646338532014E-2</v>
      </c>
      <c r="F78" s="11">
        <f t="shared" si="15"/>
        <v>72093.669671865937</v>
      </c>
      <c r="G78" s="11">
        <f t="shared" si="12"/>
        <v>1897.7682636891502</v>
      </c>
      <c r="H78" s="11">
        <v>71296.34375</v>
      </c>
      <c r="I78" s="11">
        <v>70357.296875</v>
      </c>
      <c r="J78" s="34"/>
      <c r="K78" s="11">
        <f t="shared" si="13"/>
        <v>71144.785540021359</v>
      </c>
      <c r="L78" s="11">
        <v>921189.5</v>
      </c>
      <c r="M78" s="11">
        <f>SUM(K78:K$89)</f>
        <v>931591.8462529832</v>
      </c>
      <c r="N78" s="42">
        <v>12.920571327209473</v>
      </c>
      <c r="O78" s="46">
        <f t="shared" si="9"/>
        <v>12.921964584312603</v>
      </c>
      <c r="P78" s="37">
        <f t="shared" si="14"/>
        <v>0.5088871569182678</v>
      </c>
      <c r="Q78" s="66">
        <f>P78-'Cohort Method (Elliot''s paper) '!P78</f>
        <v>-6.2542012143840253E-5</v>
      </c>
    </row>
    <row r="79" spans="1:17">
      <c r="A79" s="13" t="s">
        <v>79</v>
      </c>
      <c r="B79" s="10">
        <v>2.9041821137070656E-2</v>
      </c>
      <c r="C79" s="10">
        <f>'Opioid Mortality - WONDER'!H77/100000</f>
        <v>1.863E-5</v>
      </c>
      <c r="D79" s="10">
        <f t="shared" si="10"/>
        <v>2.9023191137070657E-2</v>
      </c>
      <c r="E79" s="22">
        <f t="shared" si="11"/>
        <v>2.9023464145653266E-2</v>
      </c>
      <c r="F79" s="11">
        <f t="shared" si="15"/>
        <v>70195.901408176782</v>
      </c>
      <c r="G79" s="11">
        <f t="shared" si="12"/>
        <v>2037.3282276920304</v>
      </c>
      <c r="H79" s="11">
        <v>69418.25</v>
      </c>
      <c r="I79" s="11">
        <v>68410.234375</v>
      </c>
      <c r="J79" s="34"/>
      <c r="K79" s="11">
        <f t="shared" si="13"/>
        <v>69177.237294330756</v>
      </c>
      <c r="L79" s="11">
        <v>850832.1875</v>
      </c>
      <c r="M79" s="11">
        <f>SUM(K79:K$89)</f>
        <v>860447.06071296195</v>
      </c>
      <c r="N79" s="42">
        <v>12.256607055664062</v>
      </c>
      <c r="O79" s="46">
        <f t="shared" si="9"/>
        <v>12.257796302231581</v>
      </c>
      <c r="P79" s="37">
        <f t="shared" si="14"/>
        <v>0.43437230878613553</v>
      </c>
      <c r="Q79" s="66">
        <f>P79-'Cohort Method (Elliot''s paper) '!P79</f>
        <v>-6.4232854743107026E-5</v>
      </c>
    </row>
    <row r="80" spans="1:17">
      <c r="A80" s="13" t="s">
        <v>80</v>
      </c>
      <c r="B80" s="10">
        <v>3.2000839710235596E-2</v>
      </c>
      <c r="C80" s="10">
        <f>'Opioid Mortality - WONDER'!H78/100000</f>
        <v>1.8409999999999998E-5</v>
      </c>
      <c r="D80" s="10">
        <f t="shared" si="10"/>
        <v>3.1982429710235592E-2</v>
      </c>
      <c r="E80" s="22">
        <f t="shared" si="11"/>
        <v>3.1982727301915093E-2</v>
      </c>
      <c r="F80" s="11">
        <f t="shared" si="15"/>
        <v>68158.573180484746</v>
      </c>
      <c r="G80" s="11">
        <f t="shared" si="12"/>
        <v>2179.8970593190675</v>
      </c>
      <c r="H80" s="11">
        <v>67402.21875</v>
      </c>
      <c r="I80" s="11">
        <v>66323.7578125</v>
      </c>
      <c r="J80" s="34"/>
      <c r="K80" s="11">
        <f t="shared" si="13"/>
        <v>67068.624650825222</v>
      </c>
      <c r="L80" s="11">
        <v>782421.9375</v>
      </c>
      <c r="M80" s="11">
        <f>SUM(K80:K$89)</f>
        <v>791269.82341863122</v>
      </c>
      <c r="N80" s="42">
        <v>11.608251571655273</v>
      </c>
      <c r="O80" s="46">
        <f t="shared" si="9"/>
        <v>11.609248646143735</v>
      </c>
      <c r="P80" s="37">
        <f t="shared" si="14"/>
        <v>0.36418145691057591</v>
      </c>
      <c r="Q80" s="66">
        <f>P80-'Cohort Method (Elliot''s paper) '!P80</f>
        <v>-6.6152839750088788E-5</v>
      </c>
    </row>
    <row r="81" spans="1:17">
      <c r="A81" s="13" t="s">
        <v>81</v>
      </c>
      <c r="B81" s="10">
        <v>3.5443209111690521E-2</v>
      </c>
      <c r="C81" s="10">
        <f>'Opioid Mortality - WONDER'!H79/100000</f>
        <v>1.3879999999999999E-5</v>
      </c>
      <c r="D81" s="10">
        <f t="shared" si="10"/>
        <v>3.542932911169052E-2</v>
      </c>
      <c r="E81" s="22">
        <f t="shared" si="11"/>
        <v>3.5429577949924407E-2</v>
      </c>
      <c r="F81" s="11">
        <f t="shared" si="15"/>
        <v>65978.676121165685</v>
      </c>
      <c r="G81" s="11">
        <f t="shared" si="12"/>
        <v>2337.5966486676557</v>
      </c>
      <c r="H81" s="11">
        <v>65245.29296875</v>
      </c>
      <c r="I81" s="11">
        <v>64089.0390625</v>
      </c>
      <c r="J81" s="34"/>
      <c r="K81" s="11">
        <f t="shared" si="13"/>
        <v>64809.877796831861</v>
      </c>
      <c r="L81" s="11">
        <v>716098.1875</v>
      </c>
      <c r="M81" s="11">
        <f>SUM(K81:K$89)</f>
        <v>724201.19876780594</v>
      </c>
      <c r="N81" s="42">
        <v>10.975476264953613</v>
      </c>
      <c r="O81" s="46">
        <f t="shared" si="9"/>
        <v>10.976291755806923</v>
      </c>
      <c r="P81" s="37">
        <f t="shared" si="14"/>
        <v>0.29785803417123713</v>
      </c>
      <c r="Q81" s="66">
        <f>P81-'Cohort Method (Elliot''s paper) '!P81</f>
        <v>-5.741107483547836E-5</v>
      </c>
    </row>
    <row r="82" spans="1:17">
      <c r="A82" s="13" t="s">
        <v>82</v>
      </c>
      <c r="B82" s="10">
        <v>3.9257220923900604E-2</v>
      </c>
      <c r="C82" s="10">
        <f>'Opioid Mortality - WONDER'!H80/100000</f>
        <v>1.5549999999999999E-5</v>
      </c>
      <c r="D82" s="10">
        <f t="shared" si="10"/>
        <v>3.9241670923900601E-2</v>
      </c>
      <c r="E82" s="22">
        <f t="shared" si="11"/>
        <v>3.924198010229607E-2</v>
      </c>
      <c r="F82" s="11">
        <f t="shared" si="15"/>
        <v>63641.07947249803</v>
      </c>
      <c r="G82" s="11">
        <f t="shared" si="12"/>
        <v>2497.4019743484105</v>
      </c>
      <c r="H82" s="11">
        <v>62932.7890625</v>
      </c>
      <c r="I82" s="11">
        <v>61697.5078125</v>
      </c>
      <c r="J82" s="34"/>
      <c r="K82" s="11">
        <f t="shared" si="13"/>
        <v>62392.378485323825</v>
      </c>
      <c r="L82" s="11">
        <v>652009.1875</v>
      </c>
      <c r="M82" s="11">
        <f>SUM(K82:K$89)</f>
        <v>659391.32097097416</v>
      </c>
      <c r="N82" s="42">
        <v>10.360404968261719</v>
      </c>
      <c r="O82" s="46">
        <f t="shared" si="9"/>
        <v>10.361095795930437</v>
      </c>
      <c r="P82" s="37">
        <f t="shared" si="14"/>
        <v>0.25232480599928087</v>
      </c>
      <c r="Q82" s="66">
        <f>P82-'Cohort Method (Elliot''s paper) '!P82</f>
        <v>-7.0850879699158043E-5</v>
      </c>
    </row>
    <row r="83" spans="1:17">
      <c r="A83" s="13" t="s">
        <v>83</v>
      </c>
      <c r="B83" s="10">
        <v>4.3392524123191833E-2</v>
      </c>
      <c r="C83" s="10">
        <f>'Opioid Mortality - WONDER'!H81/100000</f>
        <v>1.5800000000000001E-5</v>
      </c>
      <c r="D83" s="10">
        <f t="shared" si="10"/>
        <v>4.337672412319183E-2</v>
      </c>
      <c r="E83" s="22">
        <f t="shared" si="11"/>
        <v>4.3377071868126671E-2</v>
      </c>
      <c r="F83" s="11">
        <f t="shared" si="15"/>
        <v>61143.67749814962</v>
      </c>
      <c r="G83" s="11">
        <f t="shared" si="12"/>
        <v>2652.2336931187956</v>
      </c>
      <c r="H83" s="11">
        <v>60462.22265625</v>
      </c>
      <c r="I83" s="11">
        <v>59150.41796875</v>
      </c>
      <c r="J83" s="34"/>
      <c r="K83" s="11">
        <f t="shared" si="13"/>
        <v>59817.560651590218</v>
      </c>
      <c r="L83" s="11">
        <v>590311.6875</v>
      </c>
      <c r="M83" s="11">
        <f>SUM(K83:K$89)</f>
        <v>596998.9424856503</v>
      </c>
      <c r="N83" s="42">
        <v>9.7633142471313477</v>
      </c>
      <c r="O83" s="46">
        <f t="shared" si="9"/>
        <v>9.7638703936922528</v>
      </c>
      <c r="P83" s="37">
        <f t="shared" si="14"/>
        <v>0.20313253137062093</v>
      </c>
      <c r="Q83" s="66">
        <f>P83-'Cohort Method (Elliot''s paper) '!P83</f>
        <v>-6.1950783973419021E-5</v>
      </c>
    </row>
    <row r="84" spans="1:17">
      <c r="A84" s="13" t="s">
        <v>84</v>
      </c>
      <c r="B84" s="10">
        <v>4.8162896186113358E-2</v>
      </c>
      <c r="C84" s="10">
        <f>'Opioid Mortality - WONDER'!H82/100000</f>
        <v>7.2542934535805013E-6</v>
      </c>
      <c r="D84" s="10">
        <f t="shared" si="10"/>
        <v>4.8155641892659778E-2</v>
      </c>
      <c r="E84" s="22">
        <f t="shared" si="11"/>
        <v>4.8155819434386959E-2</v>
      </c>
      <c r="F84" s="11">
        <f t="shared" si="15"/>
        <v>58491.443805030824</v>
      </c>
      <c r="G84" s="11">
        <f t="shared" si="12"/>
        <v>2816.703406331656</v>
      </c>
      <c r="H84" s="11">
        <v>57838.61328125</v>
      </c>
      <c r="I84" s="11">
        <v>56445.7734375</v>
      </c>
      <c r="J84" s="34"/>
      <c r="K84" s="11">
        <f t="shared" si="13"/>
        <v>57083.092101864997</v>
      </c>
      <c r="L84" s="11">
        <v>531161.25</v>
      </c>
      <c r="M84" s="11">
        <f>SUM(K84:K$89)</f>
        <v>537181.38183406007</v>
      </c>
      <c r="N84" s="42">
        <v>9.1835060119628906</v>
      </c>
      <c r="O84" s="46">
        <f t="shared" si="9"/>
        <v>9.1839309630421084</v>
      </c>
      <c r="P84" s="37">
        <f t="shared" si="14"/>
        <v>0.15521338168430354</v>
      </c>
      <c r="Q84" s="66">
        <f>P84-'Cohort Method (Elliot''s paper) '!P84</f>
        <v>-6.475987754450685E-5</v>
      </c>
    </row>
    <row r="85" spans="1:17">
      <c r="A85" s="13" t="s">
        <v>85</v>
      </c>
      <c r="B85" s="10">
        <v>5.3216438740491867E-2</v>
      </c>
      <c r="C85" s="10">
        <f>'Opioid Mortality - WONDER'!H83/100000</f>
        <v>1.7E-5</v>
      </c>
      <c r="D85" s="10">
        <f t="shared" si="10"/>
        <v>5.3199438740491864E-2</v>
      </c>
      <c r="E85" s="22">
        <f t="shared" si="11"/>
        <v>5.3199899180298327E-2</v>
      </c>
      <c r="F85" s="11">
        <f t="shared" si="15"/>
        <v>55674.74039869917</v>
      </c>
      <c r="G85" s="11">
        <f t="shared" si="12"/>
        <v>2961.8905761000783</v>
      </c>
      <c r="H85" s="11">
        <v>55052.9375</v>
      </c>
      <c r="I85" s="11">
        <v>53588.078125</v>
      </c>
      <c r="J85" s="34"/>
      <c r="K85" s="11">
        <f t="shared" si="13"/>
        <v>54193.795110649131</v>
      </c>
      <c r="L85" s="11">
        <v>474715.46875</v>
      </c>
      <c r="M85" s="11">
        <f>SUM(K85:K$89)</f>
        <v>480098.28973219503</v>
      </c>
      <c r="N85" s="42">
        <v>8.6228904724121094</v>
      </c>
      <c r="O85" s="46">
        <f t="shared" si="9"/>
        <v>8.6232694808113095</v>
      </c>
      <c r="P85" s="37">
        <f t="shared" si="14"/>
        <v>0.138432817807848</v>
      </c>
      <c r="Q85" s="66">
        <f>P85-'Cohort Method (Elliot''s paper) '!P85</f>
        <v>-8.0992267547319585E-5</v>
      </c>
    </row>
    <row r="86" spans="1:17">
      <c r="A86" s="13" t="s">
        <v>86</v>
      </c>
      <c r="B86" s="10">
        <v>5.923973023891449E-2</v>
      </c>
      <c r="C86" s="10">
        <f>'Opioid Mortality - WONDER'!H84/100000</f>
        <v>1.1507101525512888E-5</v>
      </c>
      <c r="D86" s="10">
        <f t="shared" si="10"/>
        <v>5.9228223137388979E-2</v>
      </c>
      <c r="E86" s="22">
        <f t="shared" si="11"/>
        <v>5.9228570847128625E-2</v>
      </c>
      <c r="F86" s="11">
        <f t="shared" si="15"/>
        <v>52712.849822599092</v>
      </c>
      <c r="G86" s="11">
        <f t="shared" si="12"/>
        <v>3122.1067602718617</v>
      </c>
      <c r="H86" s="11">
        <v>52123.21484375</v>
      </c>
      <c r="I86" s="11">
        <v>50579.33203125</v>
      </c>
      <c r="J86" s="34"/>
      <c r="K86" s="11">
        <f t="shared" si="13"/>
        <v>51151.796442463165</v>
      </c>
      <c r="L86" s="11">
        <v>421127.40625</v>
      </c>
      <c r="M86" s="11">
        <f>SUM(K86:K$89)</f>
        <v>425904.49462154589</v>
      </c>
      <c r="N86" s="42">
        <v>8.0794591903686523</v>
      </c>
      <c r="O86" s="46">
        <f t="shared" si="9"/>
        <v>8.0797091421710956</v>
      </c>
      <c r="P86" s="37">
        <f t="shared" si="14"/>
        <v>9.1294895842396695E-2</v>
      </c>
      <c r="Q86" s="66">
        <f>P86-'Cohort Method (Elliot''s paper) '!P86</f>
        <v>-7.1861259448358084E-5</v>
      </c>
    </row>
    <row r="87" spans="1:17">
      <c r="A87" s="13" t="s">
        <v>87</v>
      </c>
      <c r="B87" s="10">
        <v>6.6563829779624939E-2</v>
      </c>
      <c r="C87" s="10">
        <f>'Opioid Mortality - WONDER'!H85/100000</f>
        <v>5.6173989570362608E-6</v>
      </c>
      <c r="D87" s="10">
        <f t="shared" si="10"/>
        <v>6.6558212380667905E-2</v>
      </c>
      <c r="E87" s="22">
        <f t="shared" si="11"/>
        <v>6.6558403614730643E-2</v>
      </c>
      <c r="F87" s="11">
        <f t="shared" si="15"/>
        <v>49590.74306232723</v>
      </c>
      <c r="G87" s="11">
        <f t="shared" si="12"/>
        <v>3300.6806922967794</v>
      </c>
      <c r="H87" s="11">
        <v>49035.44921875</v>
      </c>
      <c r="I87" s="11">
        <v>47403.453125</v>
      </c>
      <c r="J87" s="34"/>
      <c r="K87" s="11">
        <f t="shared" si="13"/>
        <v>47940.40271617884</v>
      </c>
      <c r="L87" s="11">
        <v>370548.0625</v>
      </c>
      <c r="M87" s="11">
        <f>SUM(K87:K$89)</f>
        <v>374752.69817908277</v>
      </c>
      <c r="N87" s="42">
        <v>7.5567383766174316</v>
      </c>
      <c r="O87" s="46">
        <f t="shared" si="9"/>
        <v>7.5569083066184675</v>
      </c>
      <c r="P87" s="37">
        <f t="shared" si="14"/>
        <v>6.2066932878334313E-2</v>
      </c>
      <c r="Q87" s="66">
        <f>P87-'Cohort Method (Elliot''s paper) '!P87</f>
        <v>-7.6385460626049451E-5</v>
      </c>
    </row>
    <row r="88" spans="1:17">
      <c r="A88" s="13" t="s">
        <v>88</v>
      </c>
      <c r="B88" s="10">
        <v>7.4045203626155853E-2</v>
      </c>
      <c r="C88" s="10">
        <f>'Opioid Mortality - WONDER'!H86/100000</f>
        <v>9.9185193634294271E-6</v>
      </c>
      <c r="D88" s="10">
        <f t="shared" si="10"/>
        <v>7.4035285106792428E-2</v>
      </c>
      <c r="E88" s="22">
        <f t="shared" si="11"/>
        <v>7.403566168161968E-2</v>
      </c>
      <c r="F88" s="11">
        <f t="shared" si="15"/>
        <v>46290.06237003045</v>
      </c>
      <c r="G88" s="11">
        <f t="shared" si="12"/>
        <v>3427.1153968486483</v>
      </c>
      <c r="H88" s="11">
        <v>45771.4609375</v>
      </c>
      <c r="I88" s="11">
        <v>44076.8828125</v>
      </c>
      <c r="J88" s="34"/>
      <c r="K88" s="11">
        <f t="shared" si="13"/>
        <v>44576.504671606126</v>
      </c>
      <c r="L88" s="11">
        <v>323144.59375</v>
      </c>
      <c r="M88" s="11">
        <f>SUM(K88:K$89)</f>
        <v>326812.29546290392</v>
      </c>
      <c r="N88" s="42">
        <v>7.0599579811096191</v>
      </c>
      <c r="O88" s="46">
        <f t="shared" si="9"/>
        <v>7.0600962437780561</v>
      </c>
      <c r="P88" s="37">
        <f t="shared" si="14"/>
        <v>5.0500439646604223E-2</v>
      </c>
      <c r="Q88" s="66">
        <f>P88-'Cohort Method (Elliot''s paper) '!P88</f>
        <v>-9.7416377320191927E-5</v>
      </c>
    </row>
    <row r="89" spans="1:17">
      <c r="A89" s="31" t="s">
        <v>287</v>
      </c>
      <c r="B89" s="16">
        <v>1</v>
      </c>
      <c r="C89" s="16">
        <f>'Opioid Mortality - WONDER'!H87/100000</f>
        <v>1.159432477898898E-5</v>
      </c>
      <c r="D89" s="16">
        <f t="shared" si="10"/>
        <v>0.99998840567522096</v>
      </c>
      <c r="E89" s="23">
        <f t="shared" si="11"/>
        <v>1</v>
      </c>
      <c r="F89" s="17">
        <f>F88*(1-E88)</f>
        <v>42862.946973181803</v>
      </c>
      <c r="G89" s="17">
        <f>F89*E89</f>
        <v>42862.946973181803</v>
      </c>
      <c r="H89" s="17">
        <v>42382.3046875</v>
      </c>
      <c r="I89" s="17">
        <f>SUM('2017 Life Table'!E89:E104)</f>
        <v>279067.72534179688</v>
      </c>
      <c r="J89" s="35"/>
      <c r="K89" s="17">
        <f>('2017 Life Table'!G89*'Modified Life Table Trunc. 85+'!F89)/(1-'Modified Life Table Trunc. 85+'!C89)</f>
        <v>282235.7907912978</v>
      </c>
      <c r="L89" s="17">
        <f>I89</f>
        <v>279067.72534179688</v>
      </c>
      <c r="M89" s="17">
        <f>SUM(K89:K$89)</f>
        <v>282235.7907912978</v>
      </c>
      <c r="N89" s="43">
        <f>L89/H89</f>
        <v>6.5845339794393851</v>
      </c>
      <c r="O89" s="47">
        <f t="shared" si="9"/>
        <v>6.5846100355135446</v>
      </c>
      <c r="P89" s="37">
        <f t="shared" si="14"/>
        <v>2.7779481086758429E-2</v>
      </c>
      <c r="Q89" s="66">
        <f>P89-'Cohort Method (Elliot''s paper) '!P89</f>
        <v>-1.052053226981986E-4</v>
      </c>
    </row>
    <row r="90" spans="1:17">
      <c r="A90" s="25"/>
      <c r="B90" s="26"/>
      <c r="C90" s="26"/>
      <c r="D90" s="26"/>
      <c r="E90" s="26"/>
      <c r="F90" s="27"/>
      <c r="G90" s="27"/>
      <c r="H90" s="27"/>
      <c r="I90" s="27"/>
      <c r="J90" s="27"/>
      <c r="K90" s="27"/>
      <c r="L90" s="27"/>
      <c r="M90" s="27"/>
      <c r="N90" s="28"/>
    </row>
    <row r="91" spans="1:17">
      <c r="A91" s="25"/>
      <c r="B91" s="26"/>
      <c r="C91" s="26"/>
      <c r="D91" s="26"/>
      <c r="E91" s="26"/>
      <c r="F91" s="27"/>
      <c r="G91" s="27"/>
      <c r="H91" s="27"/>
      <c r="I91" s="27"/>
      <c r="J91" s="27"/>
      <c r="K91" s="27"/>
      <c r="L91" s="27"/>
      <c r="M91" s="27"/>
      <c r="N91" s="28"/>
    </row>
    <row r="92" spans="1:17">
      <c r="A92" s="25"/>
      <c r="B92" s="26"/>
      <c r="C92" s="26"/>
      <c r="D92" s="26"/>
      <c r="E92" s="26"/>
      <c r="F92" s="27"/>
      <c r="G92" s="27"/>
      <c r="H92" s="27"/>
      <c r="I92" s="27"/>
      <c r="J92" s="27"/>
      <c r="K92" s="27"/>
      <c r="L92" s="27"/>
      <c r="M92" s="27"/>
      <c r="N92" s="28"/>
    </row>
    <row r="93" spans="1:17">
      <c r="A93" s="25"/>
      <c r="B93" s="26"/>
      <c r="C93" s="26"/>
      <c r="D93" s="26"/>
      <c r="E93" s="26"/>
      <c r="F93" s="27"/>
      <c r="G93" s="27"/>
      <c r="H93" s="27"/>
      <c r="I93" s="27"/>
      <c r="J93" s="27"/>
      <c r="K93" s="27"/>
      <c r="L93" s="27"/>
      <c r="M93" s="27"/>
      <c r="N93" s="28"/>
    </row>
    <row r="94" spans="1:17">
      <c r="A94" s="25"/>
      <c r="B94" s="26"/>
      <c r="C94" s="26"/>
      <c r="D94" s="26"/>
      <c r="E94" s="26"/>
      <c r="F94" s="27"/>
      <c r="G94" s="27"/>
      <c r="H94" s="27"/>
      <c r="I94" s="27"/>
      <c r="J94" s="27"/>
      <c r="K94" s="27"/>
      <c r="L94" s="27"/>
      <c r="M94" s="27"/>
      <c r="N94" s="28"/>
    </row>
    <row r="95" spans="1:17">
      <c r="A95" s="25"/>
      <c r="B95" s="26"/>
      <c r="C95" s="26"/>
      <c r="D95" s="26"/>
      <c r="E95" s="26"/>
      <c r="F95" s="27"/>
      <c r="G95" s="27"/>
      <c r="H95" s="27"/>
      <c r="I95" s="27"/>
      <c r="J95" s="27"/>
      <c r="K95" s="27"/>
      <c r="L95" s="27"/>
      <c r="M95" s="27"/>
      <c r="N95" s="28"/>
    </row>
    <row r="96" spans="1:17">
      <c r="A96" s="25"/>
      <c r="B96" s="26"/>
      <c r="C96" s="26"/>
      <c r="D96" s="26"/>
      <c r="E96" s="26"/>
      <c r="F96" s="27"/>
      <c r="G96" s="27"/>
      <c r="H96" s="27"/>
      <c r="I96" s="27"/>
      <c r="J96" s="27"/>
      <c r="K96" s="27"/>
      <c r="L96" s="27"/>
      <c r="M96" s="27"/>
      <c r="N96" s="28"/>
    </row>
    <row r="97" spans="1:14">
      <c r="A97" s="25"/>
      <c r="B97" s="26"/>
      <c r="C97" s="26"/>
      <c r="D97" s="26"/>
      <c r="E97" s="26"/>
      <c r="F97" s="27"/>
      <c r="G97" s="27"/>
      <c r="H97" s="27"/>
      <c r="I97" s="27"/>
      <c r="J97" s="27"/>
      <c r="K97" s="27"/>
      <c r="L97" s="27"/>
      <c r="M97" s="27"/>
      <c r="N97" s="28"/>
    </row>
    <row r="98" spans="1:14">
      <c r="A98" s="25"/>
      <c r="B98" s="26"/>
      <c r="C98" s="26"/>
      <c r="D98" s="26"/>
      <c r="E98" s="26"/>
      <c r="F98" s="27"/>
      <c r="G98" s="27"/>
      <c r="H98" s="27"/>
      <c r="I98" s="27"/>
      <c r="J98" s="27"/>
      <c r="K98" s="27"/>
      <c r="L98" s="27"/>
      <c r="M98" s="27"/>
      <c r="N98" s="28"/>
    </row>
    <row r="99" spans="1:14">
      <c r="A99" s="25"/>
      <c r="B99" s="26"/>
      <c r="C99" s="26"/>
      <c r="D99" s="26"/>
      <c r="E99" s="26"/>
      <c r="F99" s="27"/>
      <c r="G99" s="27"/>
      <c r="H99" s="27"/>
      <c r="I99" s="27"/>
      <c r="J99" s="27"/>
      <c r="K99" s="27"/>
      <c r="L99" s="27"/>
      <c r="M99" s="27"/>
      <c r="N99" s="28"/>
    </row>
    <row r="100" spans="1:14">
      <c r="A100" s="25"/>
      <c r="B100" s="26"/>
      <c r="C100" s="26"/>
      <c r="D100" s="26"/>
      <c r="E100" s="26"/>
      <c r="F100" s="27"/>
      <c r="G100" s="27"/>
      <c r="H100" s="27"/>
      <c r="I100" s="27"/>
      <c r="J100" s="27"/>
      <c r="K100" s="27"/>
      <c r="L100" s="27"/>
      <c r="M100" s="27"/>
      <c r="N100" s="28"/>
    </row>
    <row r="101" spans="1:14">
      <c r="A101" s="25"/>
      <c r="B101" s="26"/>
      <c r="C101" s="26"/>
      <c r="D101" s="26"/>
      <c r="E101" s="26"/>
      <c r="F101" s="27"/>
      <c r="G101" s="27"/>
      <c r="H101" s="27"/>
      <c r="I101" s="27"/>
      <c r="J101" s="27"/>
      <c r="K101" s="27"/>
      <c r="L101" s="27"/>
      <c r="M101" s="27"/>
      <c r="N101" s="28"/>
    </row>
    <row r="102" spans="1:14">
      <c r="A102" s="25"/>
      <c r="B102" s="26"/>
      <c r="C102" s="26"/>
      <c r="D102" s="26"/>
      <c r="E102" s="26"/>
      <c r="F102" s="27"/>
      <c r="G102" s="27"/>
      <c r="H102" s="27"/>
      <c r="I102" s="27"/>
      <c r="J102" s="27"/>
      <c r="K102" s="27"/>
      <c r="L102" s="27"/>
      <c r="M102" s="27"/>
      <c r="N102" s="28"/>
    </row>
    <row r="103" spans="1:14">
      <c r="A103" s="25"/>
      <c r="B103" s="26"/>
      <c r="C103" s="26"/>
      <c r="D103" s="26"/>
      <c r="E103" s="26"/>
      <c r="F103" s="27"/>
      <c r="G103" s="27"/>
      <c r="H103" s="27"/>
      <c r="I103" s="27"/>
      <c r="J103" s="27"/>
      <c r="K103" s="27"/>
      <c r="L103" s="27"/>
      <c r="M103" s="27"/>
      <c r="N103" s="28"/>
    </row>
    <row r="104" spans="1:14">
      <c r="A104" s="29"/>
      <c r="B104" s="26"/>
      <c r="C104" s="26"/>
      <c r="D104" s="26"/>
      <c r="E104" s="26"/>
      <c r="F104" s="27"/>
      <c r="G104" s="27"/>
      <c r="H104" s="27"/>
      <c r="I104" s="27"/>
      <c r="J104" s="27"/>
      <c r="K104" s="27"/>
      <c r="L104" s="27"/>
      <c r="M104" s="27"/>
      <c r="N104" s="28"/>
    </row>
    <row r="105" spans="1:14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</row>
  </sheetData>
  <mergeCells count="2">
    <mergeCell ref="A2:A3"/>
    <mergeCell ref="A1:D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89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P4" sqref="P4"/>
    </sheetView>
  </sheetViews>
  <sheetFormatPr baseColWidth="10" defaultColWidth="11.5" defaultRowHeight="15"/>
  <sheetData>
    <row r="1" spans="1:16">
      <c r="A1" s="60" t="s">
        <v>3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6" ht="105">
      <c r="A2" s="64" t="s">
        <v>1</v>
      </c>
      <c r="B2" s="3" t="s">
        <v>104</v>
      </c>
      <c r="C2" s="3" t="s">
        <v>281</v>
      </c>
      <c r="D2" s="3" t="s">
        <v>282</v>
      </c>
      <c r="E2" s="3" t="s">
        <v>283</v>
      </c>
      <c r="F2" s="48" t="s">
        <v>295</v>
      </c>
      <c r="G2" s="48" t="s">
        <v>106</v>
      </c>
      <c r="H2" s="48" t="s">
        <v>105</v>
      </c>
      <c r="I2" s="48" t="s">
        <v>107</v>
      </c>
      <c r="J2" s="48" t="s">
        <v>305</v>
      </c>
      <c r="K2" s="48" t="s">
        <v>292</v>
      </c>
      <c r="L2" s="48" t="s">
        <v>108</v>
      </c>
      <c r="M2" s="48" t="s">
        <v>300</v>
      </c>
      <c r="N2" s="39" t="s">
        <v>109</v>
      </c>
      <c r="O2" s="49" t="s">
        <v>302</v>
      </c>
      <c r="P2" s="50" t="s">
        <v>306</v>
      </c>
    </row>
    <row r="3" spans="1:16" ht="17">
      <c r="A3" s="65"/>
      <c r="B3" s="6" t="s">
        <v>278</v>
      </c>
      <c r="C3" s="6" t="s">
        <v>279</v>
      </c>
      <c r="D3" s="6" t="s">
        <v>280</v>
      </c>
      <c r="E3" s="6" t="s">
        <v>284</v>
      </c>
      <c r="F3" s="51" t="s">
        <v>296</v>
      </c>
      <c r="G3" s="51" t="s">
        <v>297</v>
      </c>
      <c r="H3" s="51" t="s">
        <v>111</v>
      </c>
      <c r="I3" s="51" t="s">
        <v>113</v>
      </c>
      <c r="J3" s="51" t="s">
        <v>294</v>
      </c>
      <c r="K3" s="51" t="s">
        <v>293</v>
      </c>
      <c r="L3" s="51" t="s">
        <v>114</v>
      </c>
      <c r="M3" s="51" t="s">
        <v>299</v>
      </c>
      <c r="N3" s="40" t="s">
        <v>115</v>
      </c>
      <c r="O3" s="51" t="s">
        <v>301</v>
      </c>
      <c r="P3" s="40" t="s">
        <v>313</v>
      </c>
    </row>
    <row r="4" spans="1:16">
      <c r="A4" s="9" t="s">
        <v>4</v>
      </c>
      <c r="B4" s="10">
        <v>5.7769683189690113E-3</v>
      </c>
      <c r="C4" s="10">
        <f>'[1]Opioid Mortality - WONDER'!H2/100000</f>
        <v>4.8231980595512648E-6</v>
      </c>
      <c r="D4" s="10">
        <f>B4-C4</f>
        <v>5.7721451209094598E-3</v>
      </c>
      <c r="E4" s="22">
        <f>1-(1-B4)^(D4/B4)</f>
        <v>5.7721590679145063E-3</v>
      </c>
      <c r="F4" s="11">
        <v>100000</v>
      </c>
      <c r="G4" s="11">
        <f>F4*E4</f>
        <v>577.21590679145061</v>
      </c>
      <c r="H4" s="11">
        <v>100000</v>
      </c>
      <c r="I4" s="11">
        <v>99493.359375</v>
      </c>
      <c r="J4" s="34">
        <f>(H4-I4)/(H4-H5)</f>
        <v>0.87700317803773076</v>
      </c>
      <c r="K4" s="32">
        <f>(1-J4)*F4+(J4*F5)</f>
        <v>99493.779815329966</v>
      </c>
      <c r="L4" s="11">
        <v>7860752</v>
      </c>
      <c r="M4" s="11">
        <f>SUM(K4:K$89)</f>
        <v>7902675.695586144</v>
      </c>
      <c r="N4" s="41">
        <v>78.607521057128906</v>
      </c>
      <c r="O4" s="37">
        <f>M4/F4</f>
        <v>79.026756955861444</v>
      </c>
      <c r="P4" s="52">
        <f>(O4-N4)*365.25</f>
        <v>153.12591201205942</v>
      </c>
    </row>
    <row r="5" spans="1:16">
      <c r="A5" s="13" t="s">
        <v>5</v>
      </c>
      <c r="B5" s="10">
        <v>3.818386176135391E-4</v>
      </c>
      <c r="C5" s="10">
        <f>'[1]Opioid Mortality - WONDER'!H3/100000</f>
        <v>4.0249020691015313E-6</v>
      </c>
      <c r="D5" s="10">
        <f t="shared" ref="D5:D68" si="0">B5-C5</f>
        <v>3.7781371554443757E-4</v>
      </c>
      <c r="E5" s="22">
        <f t="shared" ref="E5:E68" si="1">1-(1-B5)^(D5/B5)</f>
        <v>3.7781447597384776E-4</v>
      </c>
      <c r="F5" s="11">
        <f>F4*(1-E4)</f>
        <v>99422.784093208553</v>
      </c>
      <c r="G5" s="11">
        <f t="shared" ref="G5:G68" si="2">F5*E5</f>
        <v>37.563367072036598</v>
      </c>
      <c r="H5" s="11">
        <v>99422.3046875</v>
      </c>
      <c r="I5" s="11">
        <v>99403.328125</v>
      </c>
      <c r="J5" s="34">
        <f t="shared" ref="J5:J68" si="3">(H5-I5)/(H5-H6)</f>
        <v>0.49989709816834738</v>
      </c>
      <c r="K5" s="32">
        <f t="shared" ref="K5:K68" si="4">(1-J5)*F5+(J5*F6)</f>
        <v>99404.006275011809</v>
      </c>
      <c r="L5" s="11">
        <v>7761258.5</v>
      </c>
      <c r="M5" s="11">
        <f>SUM(K5:K$89)</f>
        <v>7803181.9157708148</v>
      </c>
      <c r="N5" s="33">
        <v>78.063552856445312</v>
      </c>
      <c r="O5" s="37">
        <f t="shared" ref="O5:O68" si="5">M5/F5</f>
        <v>78.484846174246698</v>
      </c>
      <c r="P5" s="52">
        <f t="shared" ref="P5:P68" si="6">(O5-N5)*365.25</f>
        <v>153.87738432695608</v>
      </c>
    </row>
    <row r="6" spans="1:16">
      <c r="A6" s="13" t="s">
        <v>6</v>
      </c>
      <c r="B6" s="10">
        <v>2.4839455727487803E-4</v>
      </c>
      <c r="C6" s="10">
        <f>'[1]Opioid Mortality - WONDER'!H4/100000</f>
        <v>9.9458572396516457E-7</v>
      </c>
      <c r="D6" s="10">
        <f t="shared" si="0"/>
        <v>2.4739997155091283E-4</v>
      </c>
      <c r="E6" s="22">
        <f t="shared" si="1"/>
        <v>2.4740009459134349E-4</v>
      </c>
      <c r="F6" s="11">
        <f t="shared" ref="F6:F69" si="7">F5*(1-E5)</f>
        <v>99385.220726136511</v>
      </c>
      <c r="G6" s="11">
        <f t="shared" si="2"/>
        <v>24.587913008627723</v>
      </c>
      <c r="H6" s="11">
        <v>99384.34375</v>
      </c>
      <c r="I6" s="11">
        <v>99372</v>
      </c>
      <c r="J6" s="34">
        <f t="shared" si="3"/>
        <v>0.5</v>
      </c>
      <c r="K6" s="32">
        <f t="shared" si="4"/>
        <v>99372.926769632206</v>
      </c>
      <c r="L6" s="11">
        <v>7661855</v>
      </c>
      <c r="M6" s="11">
        <f>SUM(K6:K$89)</f>
        <v>7703777.9094958035</v>
      </c>
      <c r="N6" s="33">
        <v>77.093177795410156</v>
      </c>
      <c r="O6" s="37">
        <f t="shared" si="5"/>
        <v>77.514321075204393</v>
      </c>
      <c r="P6" s="52">
        <f t="shared" si="6"/>
        <v>153.82258294484487</v>
      </c>
    </row>
    <row r="7" spans="1:16">
      <c r="A7" s="13" t="s">
        <v>7</v>
      </c>
      <c r="B7" s="10">
        <v>1.928160636452958E-4</v>
      </c>
      <c r="C7" s="10">
        <f>'[1]Opioid Mortality - WONDER'!H5/100000</f>
        <v>9.983140970685754E-7</v>
      </c>
      <c r="D7" s="10">
        <f t="shared" si="0"/>
        <v>1.9181774954822722E-4</v>
      </c>
      <c r="E7" s="22">
        <f t="shared" si="1"/>
        <v>1.9181784530164503E-4</v>
      </c>
      <c r="F7" s="11">
        <f t="shared" si="7"/>
        <v>99360.632813127886</v>
      </c>
      <c r="G7" s="11">
        <f t="shared" si="2"/>
        <v>19.059142494022119</v>
      </c>
      <c r="H7" s="11">
        <v>99359.65625</v>
      </c>
      <c r="I7" s="11">
        <v>99350.078125</v>
      </c>
      <c r="J7" s="34">
        <f t="shared" si="3"/>
        <v>0.5</v>
      </c>
      <c r="K7" s="32">
        <f t="shared" si="4"/>
        <v>99351.103241880875</v>
      </c>
      <c r="L7" s="11">
        <v>7562483</v>
      </c>
      <c r="M7" s="11">
        <f>SUM(K7:K$89)</f>
        <v>7604404.9827261707</v>
      </c>
      <c r="N7" s="33">
        <v>76.112213134765625</v>
      </c>
      <c r="O7" s="37">
        <f t="shared" si="5"/>
        <v>76.533379140490425</v>
      </c>
      <c r="P7" s="52">
        <f t="shared" si="6"/>
        <v>153.83088359098309</v>
      </c>
    </row>
    <row r="8" spans="1:16">
      <c r="A8" s="13" t="s">
        <v>8</v>
      </c>
      <c r="B8" s="10">
        <v>1.4872249448671937E-4</v>
      </c>
      <c r="C8" s="10">
        <f>'[1]Opioid Mortality - WONDER'!H6/100000</f>
        <v>5.0052768130801893E-7</v>
      </c>
      <c r="D8" s="10">
        <f t="shared" si="0"/>
        <v>1.4822196680541134E-4</v>
      </c>
      <c r="E8" s="22">
        <f t="shared" si="1"/>
        <v>1.4822200390185447E-4</v>
      </c>
      <c r="F8" s="11">
        <f t="shared" si="7"/>
        <v>99341.573670633865</v>
      </c>
      <c r="G8" s="11">
        <f t="shared" si="2"/>
        <v>14.724607120225055</v>
      </c>
      <c r="H8" s="11">
        <v>99340.5</v>
      </c>
      <c r="I8" s="11">
        <v>99333.109375</v>
      </c>
      <c r="J8" s="34">
        <f t="shared" si="3"/>
        <v>0.50026441036488634</v>
      </c>
      <c r="K8" s="32">
        <f t="shared" si="4"/>
        <v>99334.207473735005</v>
      </c>
      <c r="L8" s="11">
        <v>7463133</v>
      </c>
      <c r="M8" s="11">
        <f>SUM(K8:K$89)</f>
        <v>7505053.8794842893</v>
      </c>
      <c r="N8" s="33">
        <v>75.126792907714844</v>
      </c>
      <c r="O8" s="37">
        <f t="shared" si="5"/>
        <v>75.547966497563564</v>
      </c>
      <c r="P8" s="52">
        <f t="shared" si="6"/>
        <v>153.83365369224518</v>
      </c>
    </row>
    <row r="9" spans="1:16">
      <c r="A9" s="13" t="s">
        <v>9</v>
      </c>
      <c r="B9" s="10">
        <v>1.4088257739786059E-4</v>
      </c>
      <c r="C9" s="10">
        <f>'[1]Opioid Mortality - WONDER'!H7/100000</f>
        <v>0</v>
      </c>
      <c r="D9" s="10">
        <f t="shared" si="0"/>
        <v>1.4088257739786059E-4</v>
      </c>
      <c r="E9" s="22">
        <f t="shared" si="1"/>
        <v>1.4088257739786059E-4</v>
      </c>
      <c r="F9" s="11">
        <f t="shared" si="7"/>
        <v>99326.84906351364</v>
      </c>
      <c r="G9" s="11">
        <f t="shared" si="2"/>
        <v>13.993422500876077</v>
      </c>
      <c r="H9" s="11">
        <v>99325.7265625</v>
      </c>
      <c r="I9" s="11">
        <v>99318.734375</v>
      </c>
      <c r="J9" s="34">
        <f t="shared" si="3"/>
        <v>0.49972082635399218</v>
      </c>
      <c r="K9" s="32">
        <f t="shared" si="4"/>
        <v>99319.856258857981</v>
      </c>
      <c r="L9" s="11">
        <v>7363800</v>
      </c>
      <c r="M9" s="11">
        <f>SUM(K9:K$89)</f>
        <v>7405719.6720105531</v>
      </c>
      <c r="N9" s="33">
        <v>74.137893676757812</v>
      </c>
      <c r="O9" s="37">
        <f t="shared" si="5"/>
        <v>74.559091945774242</v>
      </c>
      <c r="P9" s="52">
        <f t="shared" si="6"/>
        <v>153.84266775825074</v>
      </c>
    </row>
    <row r="10" spans="1:16">
      <c r="A10" s="13" t="s">
        <v>10</v>
      </c>
      <c r="B10" s="10">
        <v>1.2598109606187791E-4</v>
      </c>
      <c r="C10" s="10">
        <f>'[1]Opioid Mortality - WONDER'!H8/100000</f>
        <v>4.9437255718160181E-7</v>
      </c>
      <c r="D10" s="10">
        <f t="shared" si="0"/>
        <v>1.254867235046963E-4</v>
      </c>
      <c r="E10" s="22">
        <f t="shared" si="1"/>
        <v>1.2548675452461744E-4</v>
      </c>
      <c r="F10" s="11">
        <f t="shared" si="7"/>
        <v>99312.855641012764</v>
      </c>
      <c r="G10" s="11">
        <f t="shared" si="2"/>
        <v>12.462447936962537</v>
      </c>
      <c r="H10" s="11">
        <v>99311.734375</v>
      </c>
      <c r="I10" s="11">
        <v>99305.484375</v>
      </c>
      <c r="J10" s="34">
        <f t="shared" si="3"/>
        <v>0.49968769519050593</v>
      </c>
      <c r="K10" s="32">
        <f t="shared" si="4"/>
        <v>99306.628309126711</v>
      </c>
      <c r="L10" s="11">
        <v>7264481</v>
      </c>
      <c r="M10" s="11">
        <f>SUM(K10:K$89)</f>
        <v>7306399.8157516951</v>
      </c>
      <c r="N10" s="33">
        <v>73.148262023925781</v>
      </c>
      <c r="O10" s="37">
        <f t="shared" si="5"/>
        <v>73.569527012315675</v>
      </c>
      <c r="P10" s="52">
        <f t="shared" si="6"/>
        <v>153.86703700940853</v>
      </c>
    </row>
    <row r="11" spans="1:16">
      <c r="A11" s="13" t="s">
        <v>11</v>
      </c>
      <c r="B11" s="10">
        <v>1.1421359522501007E-4</v>
      </c>
      <c r="C11" s="10">
        <f>'[1]Opioid Mortality - WONDER'!H9/100000</f>
        <v>0</v>
      </c>
      <c r="D11" s="10">
        <f t="shared" si="0"/>
        <v>1.1421359522501007E-4</v>
      </c>
      <c r="E11" s="22">
        <f t="shared" si="1"/>
        <v>1.1421359522501007E-4</v>
      </c>
      <c r="F11" s="11">
        <f t="shared" si="7"/>
        <v>99300.393193075797</v>
      </c>
      <c r="G11" s="11">
        <f t="shared" si="2"/>
        <v>11.341454913838303</v>
      </c>
      <c r="H11" s="11">
        <v>99299.2265625</v>
      </c>
      <c r="I11" s="11">
        <v>99293.5546875</v>
      </c>
      <c r="J11" s="34">
        <f t="shared" si="3"/>
        <v>0.5</v>
      </c>
      <c r="K11" s="32">
        <f t="shared" si="4"/>
        <v>99294.722465618877</v>
      </c>
      <c r="L11" s="11">
        <v>7165175.5</v>
      </c>
      <c r="M11" s="11">
        <f>SUM(K11:K$89)</f>
        <v>7207093.18744257</v>
      </c>
      <c r="N11" s="33">
        <v>72.157417297363281</v>
      </c>
      <c r="O11" s="37">
        <f t="shared" si="5"/>
        <v>72.57869738168489</v>
      </c>
      <c r="P11" s="52">
        <f t="shared" si="6"/>
        <v>153.87255079846756</v>
      </c>
    </row>
    <row r="12" spans="1:16">
      <c r="A12" s="13" t="s">
        <v>12</v>
      </c>
      <c r="B12" s="10">
        <v>1.0369524534326047E-4</v>
      </c>
      <c r="C12" s="10">
        <f>'[1]Opioid Mortality - WONDER'!H10/100000</f>
        <v>2.4735099452414368E-7</v>
      </c>
      <c r="D12" s="10">
        <f t="shared" si="0"/>
        <v>1.0344789434873632E-4</v>
      </c>
      <c r="E12" s="22">
        <f t="shared" si="1"/>
        <v>1.0344790714311713E-4</v>
      </c>
      <c r="F12" s="11">
        <f t="shared" si="7"/>
        <v>99289.051738161957</v>
      </c>
      <c r="G12" s="11">
        <f t="shared" si="2"/>
        <v>10.271244604537531</v>
      </c>
      <c r="H12" s="11">
        <v>99287.8828125</v>
      </c>
      <c r="I12" s="11">
        <v>99282.734375</v>
      </c>
      <c r="J12" s="34">
        <f t="shared" si="3"/>
        <v>0.5</v>
      </c>
      <c r="K12" s="32">
        <f t="shared" si="4"/>
        <v>99283.916115859698</v>
      </c>
      <c r="L12" s="11">
        <v>7065882</v>
      </c>
      <c r="M12" s="11">
        <f>SUM(K12:K$89)</f>
        <v>7107798.4649769505</v>
      </c>
      <c r="N12" s="33">
        <v>71.165603637695312</v>
      </c>
      <c r="O12" s="37">
        <f t="shared" si="5"/>
        <v>71.586930689207634</v>
      </c>
      <c r="P12" s="52">
        <f t="shared" si="6"/>
        <v>153.88970556487536</v>
      </c>
    </row>
    <row r="13" spans="1:16">
      <c r="A13" s="13" t="s">
        <v>13</v>
      </c>
      <c r="B13" s="10">
        <v>9.5351926574949175E-5</v>
      </c>
      <c r="C13" s="10">
        <f>'[1]Opioid Mortality - WONDER'!H11/100000</f>
        <v>0</v>
      </c>
      <c r="D13" s="10">
        <f t="shared" si="0"/>
        <v>9.5351926574949175E-5</v>
      </c>
      <c r="E13" s="22">
        <f t="shared" si="1"/>
        <v>9.5351926574949175E-5</v>
      </c>
      <c r="F13" s="11">
        <f t="shared" si="7"/>
        <v>99278.780493557424</v>
      </c>
      <c r="G13" s="11">
        <f t="shared" si="2"/>
        <v>9.4664229880721837</v>
      </c>
      <c r="H13" s="11">
        <v>99277.5859375</v>
      </c>
      <c r="I13" s="11">
        <v>99272.8515625</v>
      </c>
      <c r="J13" s="34">
        <f t="shared" si="3"/>
        <v>0.5</v>
      </c>
      <c r="K13" s="32">
        <f t="shared" si="4"/>
        <v>99274.047282063388</v>
      </c>
      <c r="L13" s="11">
        <v>6966599.5</v>
      </c>
      <c r="M13" s="11">
        <f>SUM(K13:K$89)</f>
        <v>7008514.548861091</v>
      </c>
      <c r="N13" s="33">
        <v>70.172935485839844</v>
      </c>
      <c r="O13" s="37">
        <f t="shared" si="5"/>
        <v>70.594285244225986</v>
      </c>
      <c r="P13" s="52">
        <f t="shared" si="6"/>
        <v>153.89799925053856</v>
      </c>
    </row>
    <row r="14" spans="1:16">
      <c r="A14" s="13" t="s">
        <v>14</v>
      </c>
      <c r="B14" s="10">
        <v>9.3017973995301872E-5</v>
      </c>
      <c r="C14" s="10">
        <f>'[1]Opioid Mortality - WONDER'!H12/100000</f>
        <v>4.7710845557845936E-7</v>
      </c>
      <c r="D14" s="10">
        <f t="shared" si="0"/>
        <v>9.2540865539723408E-5</v>
      </c>
      <c r="E14" s="22">
        <f t="shared" si="1"/>
        <v>9.2540887616454626E-5</v>
      </c>
      <c r="F14" s="11">
        <f t="shared" si="7"/>
        <v>99269.314070569351</v>
      </c>
      <c r="G14" s="11">
        <f t="shared" si="2"/>
        <v>9.1864704371670953</v>
      </c>
      <c r="H14" s="11">
        <v>99268.1171875</v>
      </c>
      <c r="I14" s="11">
        <v>99263.5</v>
      </c>
      <c r="J14" s="34">
        <f t="shared" si="3"/>
        <v>0.5</v>
      </c>
      <c r="K14" s="32">
        <f t="shared" si="4"/>
        <v>99264.720835350774</v>
      </c>
      <c r="L14" s="11">
        <v>6867326.5</v>
      </c>
      <c r="M14" s="11">
        <f>SUM(K14:K$89)</f>
        <v>6909240.5015790267</v>
      </c>
      <c r="N14" s="33">
        <v>69.179580688476562</v>
      </c>
      <c r="O14" s="37">
        <f t="shared" si="5"/>
        <v>69.600969506723203</v>
      </c>
      <c r="P14" s="52">
        <f t="shared" si="6"/>
        <v>153.91226586458546</v>
      </c>
    </row>
    <row r="15" spans="1:16">
      <c r="A15" s="13" t="s">
        <v>15</v>
      </c>
      <c r="B15" s="10">
        <v>1.0298151755705476E-4</v>
      </c>
      <c r="C15" s="10">
        <f>'[1]Opioid Mortality - WONDER'!H13/100000</f>
        <v>4.81004876908447E-7</v>
      </c>
      <c r="D15" s="10">
        <f t="shared" si="0"/>
        <v>1.0250051268014631E-4</v>
      </c>
      <c r="E15" s="22">
        <f t="shared" si="1"/>
        <v>1.0250053733262821E-4</v>
      </c>
      <c r="F15" s="11">
        <f t="shared" si="7"/>
        <v>99260.127600132182</v>
      </c>
      <c r="G15" s="11">
        <f t="shared" si="2"/>
        <v>10.174216414718789</v>
      </c>
      <c r="H15" s="11">
        <v>99258.8828125</v>
      </c>
      <c r="I15" s="11">
        <v>99253.7734375</v>
      </c>
      <c r="J15" s="34">
        <f t="shared" si="3"/>
        <v>0.5</v>
      </c>
      <c r="K15" s="32">
        <f t="shared" si="4"/>
        <v>99255.040491924825</v>
      </c>
      <c r="L15" s="11">
        <v>6768063</v>
      </c>
      <c r="M15" s="11">
        <f>SUM(K15:K$89)</f>
        <v>6809975.7807436762</v>
      </c>
      <c r="N15" s="33">
        <v>68.185966491699219</v>
      </c>
      <c r="O15" s="37">
        <f t="shared" si="5"/>
        <v>68.607364763599278</v>
      </c>
      <c r="P15" s="52">
        <f t="shared" si="6"/>
        <v>153.91571881149682</v>
      </c>
    </row>
    <row r="16" spans="1:16">
      <c r="A16" s="13" t="s">
        <v>16</v>
      </c>
      <c r="B16" s="10">
        <v>1.3252763892523944E-4</v>
      </c>
      <c r="C16" s="10">
        <f>'[1]Opioid Mortality - WONDER'!H14/100000</f>
        <v>1.2059953405164023E-6</v>
      </c>
      <c r="D16" s="10">
        <f t="shared" si="0"/>
        <v>1.3132164358472303E-4</v>
      </c>
      <c r="E16" s="22">
        <f t="shared" si="1"/>
        <v>1.3132172277485754E-4</v>
      </c>
      <c r="F16" s="11">
        <f t="shared" si="7"/>
        <v>99249.953383717468</v>
      </c>
      <c r="G16" s="11">
        <f t="shared" si="2"/>
        <v>13.033674863674079</v>
      </c>
      <c r="H16" s="11">
        <v>99248.6640625</v>
      </c>
      <c r="I16" s="11">
        <v>99242.0859375</v>
      </c>
      <c r="J16" s="34">
        <f t="shared" si="3"/>
        <v>0.5</v>
      </c>
      <c r="K16" s="32">
        <f t="shared" si="4"/>
        <v>99243.436546285637</v>
      </c>
      <c r="L16" s="11">
        <v>6668809</v>
      </c>
      <c r="M16" s="11">
        <f>SUM(K16:K$89)</f>
        <v>6710720.7402517507</v>
      </c>
      <c r="N16" s="33">
        <v>67.19293212890625</v>
      </c>
      <c r="O16" s="37">
        <f t="shared" si="5"/>
        <v>67.614346520717703</v>
      </c>
      <c r="P16" s="52">
        <f t="shared" si="6"/>
        <v>153.92160660913322</v>
      </c>
    </row>
    <row r="17" spans="1:16">
      <c r="A17" s="13" t="s">
        <v>17</v>
      </c>
      <c r="B17" s="10">
        <v>1.858931063907221E-4</v>
      </c>
      <c r="C17" s="10">
        <f>'[1]Opioid Mortality - WONDER'!H15/100000</f>
        <v>1.6845894956218722E-6</v>
      </c>
      <c r="D17" s="10">
        <f t="shared" si="0"/>
        <v>1.8420851689510023E-4</v>
      </c>
      <c r="E17" s="22">
        <f t="shared" si="1"/>
        <v>1.8420867206270231E-4</v>
      </c>
      <c r="F17" s="11">
        <f t="shared" si="7"/>
        <v>99236.919708853791</v>
      </c>
      <c r="G17" s="11">
        <f t="shared" si="2"/>
        <v>18.280301199160967</v>
      </c>
      <c r="H17" s="11">
        <v>99235.5078125</v>
      </c>
      <c r="I17" s="11">
        <v>99226.28125</v>
      </c>
      <c r="J17" s="34">
        <f t="shared" si="3"/>
        <v>0.50021177467174927</v>
      </c>
      <c r="K17" s="32">
        <f t="shared" si="4"/>
        <v>99227.775686949433</v>
      </c>
      <c r="L17" s="11">
        <v>6569567</v>
      </c>
      <c r="M17" s="11">
        <f>SUM(K17:K$89)</f>
        <v>6611477.303705466</v>
      </c>
      <c r="N17" s="33">
        <v>66.201774597167969</v>
      </c>
      <c r="O17" s="37">
        <f t="shared" si="5"/>
        <v>66.62316124989114</v>
      </c>
      <c r="P17" s="52">
        <f t="shared" si="6"/>
        <v>153.9114749071384</v>
      </c>
    </row>
    <row r="18" spans="1:16">
      <c r="A18" s="13" t="s">
        <v>18</v>
      </c>
      <c r="B18" s="10">
        <v>2.5830889353528619E-4</v>
      </c>
      <c r="C18" s="10">
        <f>'[1]Opioid Mortality - WONDER'!H16/100000</f>
        <v>3.6343328152389999E-6</v>
      </c>
      <c r="D18" s="10">
        <f t="shared" si="0"/>
        <v>2.546745607200472E-4</v>
      </c>
      <c r="E18" s="22">
        <f t="shared" si="1"/>
        <v>2.5467502354648008E-4</v>
      </c>
      <c r="F18" s="11">
        <f t="shared" si="7"/>
        <v>99218.639407654628</v>
      </c>
      <c r="G18" s="11">
        <f t="shared" si="2"/>
        <v>25.26850932739416</v>
      </c>
      <c r="H18" s="11">
        <v>99217.0625</v>
      </c>
      <c r="I18" s="11">
        <v>99204.25</v>
      </c>
      <c r="J18" s="34">
        <f t="shared" si="3"/>
        <v>0.5</v>
      </c>
      <c r="K18" s="32">
        <f t="shared" si="4"/>
        <v>99206.005152990925</v>
      </c>
      <c r="L18" s="11">
        <v>6470341</v>
      </c>
      <c r="M18" s="11">
        <f>SUM(K18:K$89)</f>
        <v>6512249.5280185165</v>
      </c>
      <c r="N18" s="33">
        <v>65.213996887207031</v>
      </c>
      <c r="O18" s="37">
        <f t="shared" si="5"/>
        <v>65.635343992795185</v>
      </c>
      <c r="P18" s="52">
        <f t="shared" si="6"/>
        <v>153.89703031607331</v>
      </c>
    </row>
    <row r="19" spans="1:16">
      <c r="A19" s="13" t="s">
        <v>19</v>
      </c>
      <c r="B19" s="10">
        <v>3.3830752363428473E-4</v>
      </c>
      <c r="C19" s="10">
        <f>'[1]Opioid Mortality - WONDER'!H17/100000</f>
        <v>3.4025509410483745E-6</v>
      </c>
      <c r="D19" s="10">
        <f t="shared" si="0"/>
        <v>3.3490497269323636E-4</v>
      </c>
      <c r="E19" s="22">
        <f t="shared" si="1"/>
        <v>3.3490554252380011E-4</v>
      </c>
      <c r="F19" s="11">
        <f t="shared" si="7"/>
        <v>99193.370898327237</v>
      </c>
      <c r="G19" s="11">
        <f t="shared" si="2"/>
        <v>33.22040969546881</v>
      </c>
      <c r="H19" s="11">
        <v>99191.4375</v>
      </c>
      <c r="I19" s="11">
        <v>99174.65625</v>
      </c>
      <c r="J19" s="34">
        <f t="shared" si="3"/>
        <v>0.50011641443539001</v>
      </c>
      <c r="K19" s="32">
        <f t="shared" si="4"/>
        <v>99176.756826144265</v>
      </c>
      <c r="L19" s="11">
        <v>6371136.5</v>
      </c>
      <c r="M19" s="11">
        <f>SUM(K19:K$89)</f>
        <v>6413043.5228655254</v>
      </c>
      <c r="N19" s="33">
        <v>64.230712890625</v>
      </c>
      <c r="O19" s="37">
        <f t="shared" si="5"/>
        <v>64.65193656377366</v>
      </c>
      <c r="P19" s="52">
        <f t="shared" si="6"/>
        <v>153.85194661754801</v>
      </c>
    </row>
    <row r="20" spans="1:16">
      <c r="A20" s="13" t="s">
        <v>20</v>
      </c>
      <c r="B20" s="10">
        <v>4.2072634096257389E-4</v>
      </c>
      <c r="C20" s="10">
        <f>'[1]Opioid Mortality - WONDER'!H18/100000</f>
        <v>4.499500437043582E-6</v>
      </c>
      <c r="D20" s="10">
        <f t="shared" si="0"/>
        <v>4.1622684052553032E-4</v>
      </c>
      <c r="E20" s="22">
        <f t="shared" si="1"/>
        <v>4.1622777706473713E-4</v>
      </c>
      <c r="F20" s="11">
        <f t="shared" si="7"/>
        <v>99160.150488631771</v>
      </c>
      <c r="G20" s="11">
        <f t="shared" si="2"/>
        <v>41.27320901128801</v>
      </c>
      <c r="H20" s="11">
        <v>99157.8828125</v>
      </c>
      <c r="I20" s="11">
        <v>99137.0234375</v>
      </c>
      <c r="J20" s="34">
        <f t="shared" si="3"/>
        <v>0.5</v>
      </c>
      <c r="K20" s="32">
        <f t="shared" si="4"/>
        <v>99139.513884126121</v>
      </c>
      <c r="L20" s="11">
        <v>6271962</v>
      </c>
      <c r="M20" s="11">
        <f>SUM(K20:K$89)</f>
        <v>6313866.7660393817</v>
      </c>
      <c r="N20" s="33">
        <v>63.252277374267578</v>
      </c>
      <c r="O20" s="37">
        <f t="shared" si="5"/>
        <v>63.6734286396957</v>
      </c>
      <c r="P20" s="52">
        <f t="shared" si="6"/>
        <v>153.82549969762164</v>
      </c>
    </row>
    <row r="21" spans="1:16">
      <c r="A21" s="13" t="s">
        <v>21</v>
      </c>
      <c r="B21" s="10">
        <v>5.0969421863555908E-4</v>
      </c>
      <c r="C21" s="10">
        <f>'[1]Opioid Mortality - WONDER'!H19/100000</f>
        <v>1.49E-5</v>
      </c>
      <c r="D21" s="10">
        <f t="shared" si="0"/>
        <v>4.947942186355591E-4</v>
      </c>
      <c r="E21" s="22">
        <f t="shared" si="1"/>
        <v>4.9479790549722402E-4</v>
      </c>
      <c r="F21" s="11">
        <f t="shared" si="7"/>
        <v>99118.877279620487</v>
      </c>
      <c r="G21" s="11">
        <f t="shared" si="2"/>
        <v>49.0438128731926</v>
      </c>
      <c r="H21" s="11">
        <v>99116.1640625</v>
      </c>
      <c r="I21" s="11">
        <v>99090.90625</v>
      </c>
      <c r="J21" s="34">
        <f t="shared" si="3"/>
        <v>0.5</v>
      </c>
      <c r="K21" s="32">
        <f t="shared" si="4"/>
        <v>99094.355373183891</v>
      </c>
      <c r="L21" s="11">
        <v>6172825</v>
      </c>
      <c r="M21" s="11">
        <f>SUM(K21:K$89)</f>
        <v>6214727.2521552565</v>
      </c>
      <c r="N21" s="33">
        <v>62.278690338134766</v>
      </c>
      <c r="O21" s="37">
        <f t="shared" si="5"/>
        <v>62.699734124541443</v>
      </c>
      <c r="P21" s="52">
        <f t="shared" si="6"/>
        <v>153.786242985039</v>
      </c>
    </row>
    <row r="22" spans="1:16">
      <c r="A22" s="13" t="s">
        <v>22</v>
      </c>
      <c r="B22" s="10">
        <v>6.031306111253798E-4</v>
      </c>
      <c r="C22" s="10">
        <f>'[1]Opioid Mortality - WONDER'!H20/100000</f>
        <v>3.277E-5</v>
      </c>
      <c r="D22" s="10">
        <f t="shared" si="0"/>
        <v>5.703606111253798E-4</v>
      </c>
      <c r="E22" s="22">
        <f t="shared" si="1"/>
        <v>5.7036995846548866E-4</v>
      </c>
      <c r="F22" s="11">
        <f t="shared" si="7"/>
        <v>99069.833466747295</v>
      </c>
      <c r="G22" s="11">
        <f t="shared" si="2"/>
        <v>56.506456799611534</v>
      </c>
      <c r="H22" s="11">
        <v>99065.6484375</v>
      </c>
      <c r="I22" s="11">
        <v>99035.7734375</v>
      </c>
      <c r="J22" s="34">
        <f t="shared" si="3"/>
        <v>0.5</v>
      </c>
      <c r="K22" s="32">
        <f t="shared" si="4"/>
        <v>99041.580238347495</v>
      </c>
      <c r="L22" s="11">
        <v>6073734</v>
      </c>
      <c r="M22" s="11">
        <f>SUM(K22:K$89)</f>
        <v>6115632.8967820713</v>
      </c>
      <c r="N22" s="33">
        <v>61.310192108154297</v>
      </c>
      <c r="O22" s="37">
        <f t="shared" si="5"/>
        <v>61.73052565829515</v>
      </c>
      <c r="P22" s="52">
        <f t="shared" si="6"/>
        <v>153.52682918894661</v>
      </c>
    </row>
    <row r="23" spans="1:16">
      <c r="A23" s="13" t="s">
        <v>23</v>
      </c>
      <c r="B23" s="10">
        <v>6.9786177482455969E-4</v>
      </c>
      <c r="C23" s="10">
        <f>'[1]Opioid Mortality - WONDER'!H21/100000</f>
        <v>6.3670000000000005E-5</v>
      </c>
      <c r="D23" s="10">
        <f t="shared" si="0"/>
        <v>6.3419177482455964E-4</v>
      </c>
      <c r="E23" s="22">
        <f t="shared" si="1"/>
        <v>6.3421196944657421E-4</v>
      </c>
      <c r="F23" s="11">
        <f t="shared" si="7"/>
        <v>99013.327009947679</v>
      </c>
      <c r="G23" s="11">
        <f t="shared" si="2"/>
        <v>62.795437124436596</v>
      </c>
      <c r="H23" s="11">
        <v>99005.8984375</v>
      </c>
      <c r="I23" s="11">
        <v>98971.3515625</v>
      </c>
      <c r="J23" s="34">
        <f t="shared" si="3"/>
        <v>0.5</v>
      </c>
      <c r="K23" s="32">
        <f t="shared" si="4"/>
        <v>98981.929291385459</v>
      </c>
      <c r="L23" s="11">
        <v>5974698.5</v>
      </c>
      <c r="M23" s="11">
        <f>SUM(K23:K$89)</f>
        <v>6016591.3165437235</v>
      </c>
      <c r="N23" s="33">
        <v>60.346893310546875</v>
      </c>
      <c r="O23" s="37">
        <f t="shared" si="5"/>
        <v>60.765469641670038</v>
      </c>
      <c r="P23" s="52">
        <f t="shared" si="6"/>
        <v>152.88500494273509</v>
      </c>
    </row>
    <row r="24" spans="1:16">
      <c r="A24" s="13" t="s">
        <v>24</v>
      </c>
      <c r="B24" s="10">
        <v>7.9517130507156253E-4</v>
      </c>
      <c r="C24" s="10">
        <f>'[1]Opioid Mortality - WONDER'!H22/100000</f>
        <v>9.4930000000000001E-5</v>
      </c>
      <c r="D24" s="10">
        <f t="shared" si="0"/>
        <v>7.0024130507156251E-4</v>
      </c>
      <c r="E24" s="22">
        <f t="shared" si="1"/>
        <v>7.0027455189070054E-4</v>
      </c>
      <c r="F24" s="11">
        <f t="shared" si="7"/>
        <v>98950.531572823238</v>
      </c>
      <c r="G24" s="11">
        <f t="shared" si="2"/>
        <v>69.292539156505413</v>
      </c>
      <c r="H24" s="11">
        <v>98936.8046875</v>
      </c>
      <c r="I24" s="11">
        <v>98897.46875</v>
      </c>
      <c r="J24" s="34">
        <f t="shared" si="3"/>
        <v>0.5</v>
      </c>
      <c r="K24" s="32">
        <f t="shared" si="4"/>
        <v>98915.885303244984</v>
      </c>
      <c r="L24" s="11">
        <v>5875727</v>
      </c>
      <c r="M24" s="11">
        <f>SUM(K24:K$89)</f>
        <v>5917609.3872523373</v>
      </c>
      <c r="N24" s="33">
        <v>59.388687133789062</v>
      </c>
      <c r="O24" s="37">
        <f t="shared" si="5"/>
        <v>59.803714979512129</v>
      </c>
      <c r="P24" s="52">
        <f t="shared" si="6"/>
        <v>151.58892065035019</v>
      </c>
    </row>
    <row r="25" spans="1:16">
      <c r="A25" s="13" t="s">
        <v>25</v>
      </c>
      <c r="B25" s="10">
        <v>8.89373361133039E-4</v>
      </c>
      <c r="C25" s="10">
        <f>'[1]Opioid Mortality - WONDER'!H23/100000</f>
        <v>1.2712999999999998E-4</v>
      </c>
      <c r="D25" s="10">
        <f t="shared" si="0"/>
        <v>7.6224336113303896E-4</v>
      </c>
      <c r="E25" s="22">
        <f t="shared" si="1"/>
        <v>7.6229182955733776E-4</v>
      </c>
      <c r="F25" s="11">
        <f t="shared" si="7"/>
        <v>98881.23903366673</v>
      </c>
      <c r="G25" s="11">
        <f t="shared" si="2"/>
        <v>75.376360611870254</v>
      </c>
      <c r="H25" s="11">
        <v>98858.1328125</v>
      </c>
      <c r="I25" s="11">
        <v>98814.171875</v>
      </c>
      <c r="J25" s="34">
        <f t="shared" si="3"/>
        <v>0.5</v>
      </c>
      <c r="K25" s="32">
        <f t="shared" si="4"/>
        <v>98843.550853360794</v>
      </c>
      <c r="L25" s="11">
        <v>5776829.5</v>
      </c>
      <c r="M25" s="11">
        <f>SUM(K25:K$89)</f>
        <v>5818693.5019490933</v>
      </c>
      <c r="N25" s="33">
        <v>58.435550689697266</v>
      </c>
      <c r="O25" s="37">
        <f t="shared" si="5"/>
        <v>58.845272963943799</v>
      </c>
      <c r="P25" s="52">
        <f t="shared" si="6"/>
        <v>149.65106066854634</v>
      </c>
    </row>
    <row r="26" spans="1:16">
      <c r="A26" s="13" t="s">
        <v>26</v>
      </c>
      <c r="B26" s="10">
        <v>9.7021477995440364E-4</v>
      </c>
      <c r="C26" s="10">
        <f>'[1]Opioid Mortality - WONDER'!H24/100000</f>
        <v>1.5880000000000001E-4</v>
      </c>
      <c r="D26" s="10">
        <f t="shared" si="0"/>
        <v>8.1141477995440368E-4</v>
      </c>
      <c r="E26" s="22">
        <f t="shared" si="1"/>
        <v>8.1147923054680771E-4</v>
      </c>
      <c r="F26" s="11">
        <f t="shared" si="7"/>
        <v>98805.862673054857</v>
      </c>
      <c r="G26" s="11">
        <f t="shared" si="2"/>
        <v>80.178905415444106</v>
      </c>
      <c r="H26" s="11">
        <v>98770.2109375</v>
      </c>
      <c r="I26" s="11">
        <v>98722.296875</v>
      </c>
      <c r="J26" s="34">
        <f t="shared" si="3"/>
        <v>0.5</v>
      </c>
      <c r="K26" s="32">
        <f t="shared" si="4"/>
        <v>98765.773220347124</v>
      </c>
      <c r="L26" s="11">
        <v>5678015.5</v>
      </c>
      <c r="M26" s="11">
        <f>SUM(K26:K$89)</f>
        <v>5719849.9510957329</v>
      </c>
      <c r="N26" s="33">
        <v>57.487125396728516</v>
      </c>
      <c r="O26" s="37">
        <f t="shared" si="5"/>
        <v>57.889783018468414</v>
      </c>
      <c r="P26" s="52">
        <f t="shared" si="6"/>
        <v>147.07069634049785</v>
      </c>
    </row>
    <row r="27" spans="1:16">
      <c r="A27" s="13" t="s">
        <v>27</v>
      </c>
      <c r="B27" s="10">
        <v>1.032469910569489E-3</v>
      </c>
      <c r="C27" s="10">
        <f>'[1]Opioid Mortality - WONDER'!H25/100000</f>
        <v>2.0219999999999998E-4</v>
      </c>
      <c r="D27" s="10">
        <f t="shared" si="0"/>
        <v>8.3026991056948897E-4</v>
      </c>
      <c r="E27" s="22">
        <f t="shared" si="1"/>
        <v>8.3035388542318511E-4</v>
      </c>
      <c r="F27" s="11">
        <f t="shared" si="7"/>
        <v>98725.683767639406</v>
      </c>
      <c r="G27" s="11">
        <f t="shared" si="2"/>
        <v>81.977255107520051</v>
      </c>
      <c r="H27" s="11">
        <v>98674.3828125</v>
      </c>
      <c r="I27" s="11">
        <v>98623.4453125</v>
      </c>
      <c r="J27" s="34">
        <f t="shared" si="3"/>
        <v>0.5</v>
      </c>
      <c r="K27" s="32">
        <f t="shared" si="4"/>
        <v>98684.695140085649</v>
      </c>
      <c r="L27" s="11">
        <v>5579293</v>
      </c>
      <c r="M27" s="11">
        <f>SUM(K27:K$89)</f>
        <v>5621084.1778753856</v>
      </c>
      <c r="N27" s="33">
        <v>56.542465209960938</v>
      </c>
      <c r="O27" s="37">
        <f t="shared" si="5"/>
        <v>56.936391457213496</v>
      </c>
      <c r="P27" s="52">
        <f t="shared" si="6"/>
        <v>143.88156180899696</v>
      </c>
    </row>
    <row r="28" spans="1:16">
      <c r="A28" s="13" t="s">
        <v>28</v>
      </c>
      <c r="B28" s="10">
        <v>1.0802376782521605E-3</v>
      </c>
      <c r="C28" s="10">
        <f>'[1]Opioid Mortality - WONDER'!H26/100000</f>
        <v>2.2169E-4</v>
      </c>
      <c r="D28" s="10">
        <f t="shared" si="0"/>
        <v>8.5854767825216058E-4</v>
      </c>
      <c r="E28" s="22">
        <f t="shared" si="1"/>
        <v>8.5864288529380328E-4</v>
      </c>
      <c r="F28" s="11">
        <f t="shared" si="7"/>
        <v>98643.706512531891</v>
      </c>
      <c r="G28" s="11">
        <f t="shared" si="2"/>
        <v>84.699716775995512</v>
      </c>
      <c r="H28" s="11">
        <v>98572.5078125</v>
      </c>
      <c r="I28" s="11">
        <v>98519.265625</v>
      </c>
      <c r="J28" s="34">
        <f t="shared" si="3"/>
        <v>0.5</v>
      </c>
      <c r="K28" s="32">
        <f t="shared" si="4"/>
        <v>98601.356654143892</v>
      </c>
      <c r="L28" s="11">
        <v>5480669.5</v>
      </c>
      <c r="M28" s="11">
        <f>SUM(K28:K$89)</f>
        <v>5522399.4827352995</v>
      </c>
      <c r="N28" s="33">
        <v>55.600387573242188</v>
      </c>
      <c r="O28" s="37">
        <f t="shared" si="5"/>
        <v>55.98329257866768</v>
      </c>
      <c r="P28" s="52">
        <f t="shared" si="6"/>
        <v>139.85605323166098</v>
      </c>
    </row>
    <row r="29" spans="1:16">
      <c r="A29" s="13" t="s">
        <v>29</v>
      </c>
      <c r="B29" s="10">
        <v>1.1225509224459529E-3</v>
      </c>
      <c r="C29" s="10">
        <f>'[1]Opioid Mortality - WONDER'!H27/100000</f>
        <v>2.3338999999999999E-4</v>
      </c>
      <c r="D29" s="10">
        <f t="shared" si="0"/>
        <v>8.8916092244595291E-4</v>
      </c>
      <c r="E29" s="22">
        <f t="shared" si="1"/>
        <v>8.8926473000661144E-4</v>
      </c>
      <c r="F29" s="11">
        <f t="shared" si="7"/>
        <v>98559.006795755893</v>
      </c>
      <c r="G29" s="11">
        <f t="shared" si="2"/>
        <v>87.64504856794764</v>
      </c>
      <c r="H29" s="11">
        <v>98466.0234375</v>
      </c>
      <c r="I29" s="11">
        <v>98410.7578125</v>
      </c>
      <c r="J29" s="34">
        <f t="shared" si="3"/>
        <v>0.5</v>
      </c>
      <c r="K29" s="32">
        <f t="shared" si="4"/>
        <v>98515.184271471924</v>
      </c>
      <c r="L29" s="11">
        <v>5382150.5</v>
      </c>
      <c r="M29" s="11">
        <f>SUM(K29:K$89)</f>
        <v>5423798.1260811547</v>
      </c>
      <c r="N29" s="33">
        <v>54.659976959228516</v>
      </c>
      <c r="O29" s="37">
        <f t="shared" si="5"/>
        <v>55.030973854281086</v>
      </c>
      <c r="P29" s="52">
        <f t="shared" si="6"/>
        <v>135.50661591795142</v>
      </c>
    </row>
    <row r="30" spans="1:16">
      <c r="A30" s="13" t="s">
        <v>30</v>
      </c>
      <c r="B30" s="10">
        <v>1.1651417007669806E-3</v>
      </c>
      <c r="C30" s="10">
        <f>'[1]Opioid Mortality - WONDER'!H28/100000</f>
        <v>2.5196000000000002E-4</v>
      </c>
      <c r="D30" s="10">
        <f t="shared" si="0"/>
        <v>9.1318170076698057E-4</v>
      </c>
      <c r="E30" s="22">
        <f t="shared" si="1"/>
        <v>9.1329679777507611E-4</v>
      </c>
      <c r="F30" s="11">
        <f t="shared" si="7"/>
        <v>98471.361747187941</v>
      </c>
      <c r="G30" s="11">
        <f t="shared" si="2"/>
        <v>89.933579356257866</v>
      </c>
      <c r="H30" s="11">
        <v>98355.4921875</v>
      </c>
      <c r="I30" s="11">
        <v>98298.1875</v>
      </c>
      <c r="J30" s="34">
        <f t="shared" si="3"/>
        <v>0.50003408548639994</v>
      </c>
      <c r="K30" s="32">
        <f t="shared" si="4"/>
        <v>98426.391892080021</v>
      </c>
      <c r="L30" s="11">
        <v>5283739.5</v>
      </c>
      <c r="M30" s="11">
        <f>SUM(K30:K$89)</f>
        <v>5325282.9418096831</v>
      </c>
      <c r="N30" s="33">
        <v>53.720836639404297</v>
      </c>
      <c r="O30" s="37">
        <f t="shared" si="5"/>
        <v>54.079509487048988</v>
      </c>
      <c r="P30" s="52">
        <f t="shared" si="6"/>
        <v>131.00525760222331</v>
      </c>
    </row>
    <row r="31" spans="1:16">
      <c r="A31" s="13" t="s">
        <v>31</v>
      </c>
      <c r="B31" s="10">
        <v>1.2071458622813225E-3</v>
      </c>
      <c r="C31" s="10">
        <f>'[1]Opioid Mortality - WONDER'!H29/100000</f>
        <v>2.8217999999999999E-4</v>
      </c>
      <c r="D31" s="10">
        <f t="shared" si="0"/>
        <v>9.2496586228132255E-4</v>
      </c>
      <c r="E31" s="22">
        <f t="shared" si="1"/>
        <v>9.2509643054594637E-4</v>
      </c>
      <c r="F31" s="11">
        <f t="shared" si="7"/>
        <v>98381.428167831677</v>
      </c>
      <c r="G31" s="11">
        <f t="shared" si="2"/>
        <v>91.012308030073513</v>
      </c>
      <c r="H31" s="11">
        <v>98240.890625</v>
      </c>
      <c r="I31" s="11">
        <v>98181.59375</v>
      </c>
      <c r="J31" s="34">
        <f t="shared" si="3"/>
        <v>0.5</v>
      </c>
      <c r="K31" s="32">
        <f t="shared" si="4"/>
        <v>98335.922013816642</v>
      </c>
      <c r="L31" s="11">
        <v>5185441.5</v>
      </c>
      <c r="M31" s="11">
        <f>SUM(K31:K$89)</f>
        <v>5226856.549917602</v>
      </c>
      <c r="N31" s="33">
        <v>52.782924652099609</v>
      </c>
      <c r="O31" s="37">
        <f t="shared" si="5"/>
        <v>53.128488244762607</v>
      </c>
      <c r="P31" s="52">
        <f t="shared" si="6"/>
        <v>126.21710222016004</v>
      </c>
    </row>
    <row r="32" spans="1:16">
      <c r="A32" s="13" t="s">
        <v>32</v>
      </c>
      <c r="B32" s="10">
        <v>1.2518096482381225E-3</v>
      </c>
      <c r="C32" s="10">
        <f>'[1]Opioid Mortality - WONDER'!H30/100000</f>
        <v>3.0051999999999998E-4</v>
      </c>
      <c r="D32" s="10">
        <f t="shared" si="0"/>
        <v>9.5128964823812249E-4</v>
      </c>
      <c r="E32" s="22">
        <f t="shared" si="1"/>
        <v>9.5143266303632235E-4</v>
      </c>
      <c r="F32" s="11">
        <f t="shared" si="7"/>
        <v>98290.415859801607</v>
      </c>
      <c r="G32" s="11">
        <f t="shared" si="2"/>
        <v>93.516712112438611</v>
      </c>
      <c r="H32" s="11">
        <v>98122.296875</v>
      </c>
      <c r="I32" s="11">
        <v>98060.8828125</v>
      </c>
      <c r="J32" s="34">
        <f t="shared" si="3"/>
        <v>0.5</v>
      </c>
      <c r="K32" s="32">
        <f t="shared" si="4"/>
        <v>98243.657503745388</v>
      </c>
      <c r="L32" s="11">
        <v>5087259.5</v>
      </c>
      <c r="M32" s="11">
        <f>SUM(K32:K$89)</f>
        <v>5128520.6279037865</v>
      </c>
      <c r="N32" s="33">
        <v>51.846111297607422</v>
      </c>
      <c r="O32" s="37">
        <f t="shared" si="5"/>
        <v>52.177219752726948</v>
      </c>
      <c r="P32" s="52">
        <f t="shared" si="6"/>
        <v>120.93736323240704</v>
      </c>
    </row>
    <row r="33" spans="1:16">
      <c r="A33" s="13" t="s">
        <v>33</v>
      </c>
      <c r="B33" s="10">
        <v>1.2999660102650523E-3</v>
      </c>
      <c r="C33" s="10">
        <f>'[1]Opioid Mortality - WONDER'!H31/100000</f>
        <v>2.9748000000000003E-4</v>
      </c>
      <c r="D33" s="10">
        <f t="shared" si="0"/>
        <v>1.0024860102650522E-3</v>
      </c>
      <c r="E33" s="22">
        <f t="shared" si="1"/>
        <v>1.0026351994900651E-3</v>
      </c>
      <c r="F33" s="11">
        <f t="shared" si="7"/>
        <v>98196.899147689168</v>
      </c>
      <c r="G33" s="11">
        <f t="shared" si="2"/>
        <v>98.455667566249133</v>
      </c>
      <c r="H33" s="11">
        <v>97999.46875</v>
      </c>
      <c r="I33" s="11">
        <v>97935.765625</v>
      </c>
      <c r="J33" s="34">
        <f t="shared" si="3"/>
        <v>0.50003066167903354</v>
      </c>
      <c r="K33" s="32">
        <f t="shared" si="4"/>
        <v>98147.66829508997</v>
      </c>
      <c r="L33" s="11">
        <v>4989199</v>
      </c>
      <c r="M33" s="11">
        <f>SUM(K33:K$89)</f>
        <v>5030276.970400041</v>
      </c>
      <c r="N33" s="33">
        <v>50.910469055175781</v>
      </c>
      <c r="O33" s="37">
        <f t="shared" si="5"/>
        <v>51.226433971549874</v>
      </c>
      <c r="P33" s="52">
        <f t="shared" si="6"/>
        <v>115.40618570563721</v>
      </c>
    </row>
    <row r="34" spans="1:16">
      <c r="A34" s="13" t="s">
        <v>34</v>
      </c>
      <c r="B34" s="10">
        <v>1.3505816459655762E-3</v>
      </c>
      <c r="C34" s="10">
        <f>'[1]Opioid Mortality - WONDER'!H32/100000</f>
        <v>2.8975000000000002E-4</v>
      </c>
      <c r="D34" s="10">
        <f t="shared" si="0"/>
        <v>1.0608316459655761E-3</v>
      </c>
      <c r="E34" s="22">
        <f t="shared" si="1"/>
        <v>1.060985418046223E-3</v>
      </c>
      <c r="F34" s="11">
        <f t="shared" si="7"/>
        <v>98098.443480122922</v>
      </c>
      <c r="G34" s="11">
        <f t="shared" si="2"/>
        <v>104.081018065442</v>
      </c>
      <c r="H34" s="11">
        <v>97872.0703125</v>
      </c>
      <c r="I34" s="11">
        <v>97805.9765625</v>
      </c>
      <c r="J34" s="34">
        <f t="shared" si="3"/>
        <v>0.5</v>
      </c>
      <c r="K34" s="32">
        <f t="shared" si="4"/>
        <v>98046.402971090196</v>
      </c>
      <c r="L34" s="11">
        <v>4891263</v>
      </c>
      <c r="M34" s="11">
        <f>SUM(K34:K$89)</f>
        <v>4932129.3021049509</v>
      </c>
      <c r="N34" s="33">
        <v>49.976085662841797</v>
      </c>
      <c r="O34" s="37">
        <f t="shared" si="5"/>
        <v>50.277345155882294</v>
      </c>
      <c r="P34" s="52">
        <f t="shared" si="6"/>
        <v>110.03502983304162</v>
      </c>
    </row>
    <row r="35" spans="1:16">
      <c r="A35" s="13" t="s">
        <v>35</v>
      </c>
      <c r="B35" s="10">
        <v>1.4020204544067383E-3</v>
      </c>
      <c r="C35" s="10">
        <f>'[1]Opioid Mortality - WONDER'!H33/100000</f>
        <v>3.0167000000000003E-4</v>
      </c>
      <c r="D35" s="10">
        <f t="shared" si="0"/>
        <v>1.1003504544067383E-3</v>
      </c>
      <c r="E35" s="22">
        <f t="shared" si="1"/>
        <v>1.1005165200953515E-3</v>
      </c>
      <c r="F35" s="11">
        <f t="shared" si="7"/>
        <v>97994.362462057485</v>
      </c>
      <c r="G35" s="11">
        <f t="shared" si="2"/>
        <v>107.84441476570605</v>
      </c>
      <c r="H35" s="11">
        <v>97739.8828125</v>
      </c>
      <c r="I35" s="11">
        <v>97671.3671875</v>
      </c>
      <c r="J35" s="34">
        <f t="shared" si="3"/>
        <v>0.5</v>
      </c>
      <c r="K35" s="32">
        <f t="shared" si="4"/>
        <v>97940.440254674642</v>
      </c>
      <c r="L35" s="11">
        <v>4793457</v>
      </c>
      <c r="M35" s="11">
        <f>SUM(K35:K$89)</f>
        <v>4834082.8991338611</v>
      </c>
      <c r="N35" s="33">
        <v>49.042999267578125</v>
      </c>
      <c r="O35" s="37">
        <f t="shared" si="5"/>
        <v>49.330214286618514</v>
      </c>
      <c r="P35" s="52">
        <f t="shared" si="6"/>
        <v>104.90528570450194</v>
      </c>
    </row>
    <row r="36" spans="1:16">
      <c r="A36" s="13" t="s">
        <v>36</v>
      </c>
      <c r="B36" s="10">
        <v>1.4542329590767622E-3</v>
      </c>
      <c r="C36" s="10">
        <f>'[1]Opioid Mortality - WONDER'!H34/100000</f>
        <v>3.2085999999999996E-4</v>
      </c>
      <c r="D36" s="10">
        <f t="shared" si="0"/>
        <v>1.1333729590767621E-3</v>
      </c>
      <c r="E36" s="22">
        <f t="shared" si="1"/>
        <v>1.1335548937742024E-3</v>
      </c>
      <c r="F36" s="11">
        <f t="shared" si="7"/>
        <v>97886.518047291785</v>
      </c>
      <c r="G36" s="11">
        <f t="shared" si="2"/>
        <v>110.95974156702438</v>
      </c>
      <c r="H36" s="11">
        <v>97602.8515625</v>
      </c>
      <c r="I36" s="11">
        <v>97531.8828125</v>
      </c>
      <c r="J36" s="34">
        <f t="shared" si="3"/>
        <v>0.5</v>
      </c>
      <c r="K36" s="32">
        <f t="shared" si="4"/>
        <v>97831.038176508271</v>
      </c>
      <c r="L36" s="11">
        <v>4695785.5</v>
      </c>
      <c r="M36" s="11">
        <f>SUM(K36:K$89)</f>
        <v>4736142.4588791868</v>
      </c>
      <c r="N36" s="33">
        <v>48.111148834228516</v>
      </c>
      <c r="O36" s="37">
        <f t="shared" si="5"/>
        <v>48.3840119493373</v>
      </c>
      <c r="P36" s="52">
        <f t="shared" si="6"/>
        <v>99.663252793483323</v>
      </c>
    </row>
    <row r="37" spans="1:16">
      <c r="A37" s="13" t="s">
        <v>37</v>
      </c>
      <c r="B37" s="10">
        <v>1.5055579133331776E-3</v>
      </c>
      <c r="C37" s="10">
        <f>'[1]Opioid Mortality - WONDER'!H35/100000</f>
        <v>3.2451999999999996E-4</v>
      </c>
      <c r="D37" s="10">
        <f t="shared" si="0"/>
        <v>1.1810379133331775E-3</v>
      </c>
      <c r="E37" s="22">
        <f t="shared" si="1"/>
        <v>1.1812296655450139E-3</v>
      </c>
      <c r="F37" s="11">
        <f t="shared" si="7"/>
        <v>97775.558305724757</v>
      </c>
      <c r="G37" s="11">
        <f t="shared" si="2"/>
        <v>115.49539003594826</v>
      </c>
      <c r="H37" s="11">
        <v>97460.9140625</v>
      </c>
      <c r="I37" s="11">
        <v>97387.546875</v>
      </c>
      <c r="J37" s="34">
        <f t="shared" si="3"/>
        <v>0.5</v>
      </c>
      <c r="K37" s="32">
        <f t="shared" si="4"/>
        <v>97717.810610706772</v>
      </c>
      <c r="L37" s="11">
        <v>4598254</v>
      </c>
      <c r="M37" s="11">
        <f>SUM(K37:K$89)</f>
        <v>4638311.4207026782</v>
      </c>
      <c r="N37" s="33">
        <v>47.180492401123047</v>
      </c>
      <c r="O37" s="37">
        <f t="shared" si="5"/>
        <v>47.438352703643986</v>
      </c>
      <c r="P37" s="52">
        <f t="shared" si="6"/>
        <v>94.183475495772953</v>
      </c>
    </row>
    <row r="38" spans="1:16">
      <c r="A38" s="13" t="s">
        <v>38</v>
      </c>
      <c r="B38" s="10">
        <v>1.5564917121082544E-3</v>
      </c>
      <c r="C38" s="10">
        <f>'[1]Opioid Mortality - WONDER'!H36/100000</f>
        <v>3.1271000000000001E-4</v>
      </c>
      <c r="D38" s="10">
        <f t="shared" si="0"/>
        <v>1.2437817121082545E-3</v>
      </c>
      <c r="E38" s="22">
        <f t="shared" si="1"/>
        <v>1.2439763048704977E-3</v>
      </c>
      <c r="F38" s="11">
        <f t="shared" si="7"/>
        <v>97660.062915688803</v>
      </c>
      <c r="G38" s="11">
        <f t="shared" si="2"/>
        <v>121.48680419927888</v>
      </c>
      <c r="H38" s="11">
        <v>97314.1796875</v>
      </c>
      <c r="I38" s="11">
        <v>97238.4453125</v>
      </c>
      <c r="J38" s="34">
        <f t="shared" si="3"/>
        <v>0.5</v>
      </c>
      <c r="K38" s="32">
        <f t="shared" si="4"/>
        <v>97599.319513589173</v>
      </c>
      <c r="L38" s="11">
        <v>4500866.5</v>
      </c>
      <c r="M38" s="11">
        <f>SUM(K38:K$89)</f>
        <v>4540593.6100919712</v>
      </c>
      <c r="N38" s="33">
        <v>46.250881195068359</v>
      </c>
      <c r="O38" s="37">
        <f t="shared" si="5"/>
        <v>46.493863249012286</v>
      </c>
      <c r="P38" s="52">
        <f t="shared" si="6"/>
        <v>88.749195203019056</v>
      </c>
    </row>
    <row r="39" spans="1:16">
      <c r="A39" s="13" t="s">
        <v>39</v>
      </c>
      <c r="B39" s="10">
        <v>1.6147659625858068E-3</v>
      </c>
      <c r="C39" s="10">
        <f>'[1]Opioid Mortality - WONDER'!H37/100000</f>
        <v>3.1959000000000002E-4</v>
      </c>
      <c r="D39" s="10">
        <f t="shared" si="0"/>
        <v>1.2951759625858068E-3</v>
      </c>
      <c r="E39" s="22">
        <f t="shared" si="1"/>
        <v>1.2953830587937309E-3</v>
      </c>
      <c r="F39" s="11">
        <f t="shared" si="7"/>
        <v>97538.576111489529</v>
      </c>
      <c r="G39" s="11">
        <f t="shared" si="2"/>
        <v>126.34981907368645</v>
      </c>
      <c r="H39" s="11">
        <v>97162.7109375</v>
      </c>
      <c r="I39" s="11">
        <v>97084.265625</v>
      </c>
      <c r="J39" s="34">
        <f t="shared" si="3"/>
        <v>0.49997510332121697</v>
      </c>
      <c r="K39" s="32">
        <f t="shared" si="4"/>
        <v>97475.404347643547</v>
      </c>
      <c r="L39" s="11">
        <v>4403628</v>
      </c>
      <c r="M39" s="11">
        <f>SUM(K39:K$89)</f>
        <v>4442994.2905783821</v>
      </c>
      <c r="N39" s="33">
        <v>45.322200775146484</v>
      </c>
      <c r="O39" s="37">
        <f t="shared" si="5"/>
        <v>45.551149788160799</v>
      </c>
      <c r="P39" s="52">
        <f t="shared" si="6"/>
        <v>83.62362700347856</v>
      </c>
    </row>
    <row r="40" spans="1:16">
      <c r="A40" s="13" t="s">
        <v>40</v>
      </c>
      <c r="B40" s="10">
        <v>1.6787280328571796E-3</v>
      </c>
      <c r="C40" s="10">
        <f>'[1]Opioid Mortality - WONDER'!H38/100000</f>
        <v>3.0621000000000001E-4</v>
      </c>
      <c r="D40" s="10">
        <f t="shared" si="0"/>
        <v>1.3725180328571797E-3</v>
      </c>
      <c r="E40" s="22">
        <f t="shared" si="1"/>
        <v>1.3727283113960098E-3</v>
      </c>
      <c r="F40" s="11">
        <f t="shared" si="7"/>
        <v>97412.226292415842</v>
      </c>
      <c r="G40" s="11">
        <f t="shared" si="2"/>
        <v>133.72052090771399</v>
      </c>
      <c r="H40" s="11">
        <v>97005.8125</v>
      </c>
      <c r="I40" s="11">
        <v>96924.390625</v>
      </c>
      <c r="J40" s="34">
        <f t="shared" si="3"/>
        <v>0.5</v>
      </c>
      <c r="K40" s="32">
        <f t="shared" si="4"/>
        <v>97345.366031961981</v>
      </c>
      <c r="L40" s="11">
        <v>4306543.5</v>
      </c>
      <c r="M40" s="11">
        <f>SUM(K40:K$89)</f>
        <v>4345518.8862307379</v>
      </c>
      <c r="N40" s="33">
        <v>44.394695281982422</v>
      </c>
      <c r="O40" s="37">
        <f t="shared" si="5"/>
        <v>44.609583946743903</v>
      </c>
      <c r="P40" s="52">
        <f t="shared" si="6"/>
        <v>78.488084804131162</v>
      </c>
    </row>
    <row r="41" spans="1:16">
      <c r="A41" s="13" t="s">
        <v>41</v>
      </c>
      <c r="B41" s="10">
        <v>1.7399053322151303E-3</v>
      </c>
      <c r="C41" s="10">
        <f>'[1]Opioid Mortality - WONDER'!H39/100000</f>
        <v>2.8627999999999998E-4</v>
      </c>
      <c r="D41" s="10">
        <f t="shared" si="0"/>
        <v>1.4536253322151305E-3</v>
      </c>
      <c r="E41" s="22">
        <f t="shared" si="1"/>
        <v>1.4538335448084361E-3</v>
      </c>
      <c r="F41" s="11">
        <f t="shared" si="7"/>
        <v>97278.505771508135</v>
      </c>
      <c r="G41" s="11">
        <f t="shared" si="2"/>
        <v>141.42675487945957</v>
      </c>
      <c r="H41" s="11">
        <v>96842.96875</v>
      </c>
      <c r="I41" s="11">
        <v>96758.71875</v>
      </c>
      <c r="J41" s="34">
        <f t="shared" si="3"/>
        <v>0.5</v>
      </c>
      <c r="K41" s="32">
        <f t="shared" si="4"/>
        <v>97207.792394068412</v>
      </c>
      <c r="L41" s="11">
        <v>4209619</v>
      </c>
      <c r="M41" s="11">
        <f>SUM(K41:K$89)</f>
        <v>4248173.5201987764</v>
      </c>
      <c r="N41" s="33">
        <v>43.468505859375</v>
      </c>
      <c r="O41" s="37">
        <f t="shared" si="5"/>
        <v>43.670217655039501</v>
      </c>
      <c r="P41" s="52">
        <f t="shared" si="6"/>
        <v>73.675233366458968</v>
      </c>
    </row>
    <row r="42" spans="1:16">
      <c r="A42" s="13" t="s">
        <v>42</v>
      </c>
      <c r="B42" s="10">
        <v>1.7976908711716533E-3</v>
      </c>
      <c r="C42" s="10">
        <f>'[1]Opioid Mortality - WONDER'!H40/100000</f>
        <v>2.7812000000000003E-4</v>
      </c>
      <c r="D42" s="10">
        <f t="shared" si="0"/>
        <v>1.5195708711716533E-3</v>
      </c>
      <c r="E42" s="22">
        <f t="shared" si="1"/>
        <v>1.5197823290530321E-3</v>
      </c>
      <c r="F42" s="11">
        <f t="shared" si="7"/>
        <v>97137.079016628675</v>
      </c>
      <c r="G42" s="11">
        <f t="shared" si="2"/>
        <v>147.62721618530034</v>
      </c>
      <c r="H42" s="11">
        <v>96674.46875</v>
      </c>
      <c r="I42" s="11">
        <v>96587.578125</v>
      </c>
      <c r="J42" s="34">
        <f t="shared" si="3"/>
        <v>0.49997752303888515</v>
      </c>
      <c r="K42" s="32">
        <f t="shared" si="4"/>
        <v>97063.268726747221</v>
      </c>
      <c r="L42" s="11">
        <v>4112860.5</v>
      </c>
      <c r="M42" s="11">
        <f>SUM(K42:K$89)</f>
        <v>4150965.7278047078</v>
      </c>
      <c r="N42" s="33">
        <v>42.543399810791016</v>
      </c>
      <c r="O42" s="37">
        <f t="shared" si="5"/>
        <v>42.73307134440509</v>
      </c>
      <c r="P42" s="52">
        <f t="shared" si="6"/>
        <v>69.27752765254067</v>
      </c>
    </row>
    <row r="43" spans="1:16">
      <c r="A43" s="13" t="s">
        <v>43</v>
      </c>
      <c r="B43" s="10">
        <v>1.8595327856019139E-3</v>
      </c>
      <c r="C43" s="10">
        <f>'[1]Opioid Mortality - WONDER'!H41/100000</f>
        <v>2.9419E-4</v>
      </c>
      <c r="D43" s="10">
        <f t="shared" si="0"/>
        <v>1.565342785601914E-3</v>
      </c>
      <c r="E43" s="22">
        <f t="shared" si="1"/>
        <v>1.5655732051661486E-3</v>
      </c>
      <c r="F43" s="11">
        <f t="shared" si="7"/>
        <v>96989.451800443378</v>
      </c>
      <c r="G43" s="11">
        <f t="shared" si="2"/>
        <v>151.84408692252782</v>
      </c>
      <c r="H43" s="11">
        <v>96500.6796875</v>
      </c>
      <c r="I43" s="11">
        <v>96410.953125</v>
      </c>
      <c r="J43" s="34">
        <f t="shared" si="3"/>
        <v>0.50002176847054725</v>
      </c>
      <c r="K43" s="32">
        <f t="shared" si="4"/>
        <v>96913.526451568585</v>
      </c>
      <c r="L43" s="11">
        <v>4016273</v>
      </c>
      <c r="M43" s="11">
        <f>SUM(K43:K$89)</f>
        <v>4053902.4590779603</v>
      </c>
      <c r="N43" s="33">
        <v>41.619117736816406</v>
      </c>
      <c r="O43" s="37">
        <f t="shared" si="5"/>
        <v>41.79735408154383</v>
      </c>
      <c r="P43" s="52">
        <f t="shared" si="6"/>
        <v>65.100824911691461</v>
      </c>
    </row>
    <row r="44" spans="1:16">
      <c r="A44" s="13" t="s">
        <v>44</v>
      </c>
      <c r="B44" s="10">
        <v>1.9360573496669531E-3</v>
      </c>
      <c r="C44" s="10">
        <f>'[1]Opioid Mortality - WONDER'!H42/100000</f>
        <v>2.6462000000000002E-4</v>
      </c>
      <c r="D44" s="10">
        <f t="shared" si="0"/>
        <v>1.671437349666953E-3</v>
      </c>
      <c r="E44" s="22">
        <f t="shared" si="1"/>
        <v>1.671658659935682E-3</v>
      </c>
      <c r="F44" s="11">
        <f t="shared" si="7"/>
        <v>96837.607713520847</v>
      </c>
      <c r="G44" s="11">
        <f t="shared" si="2"/>
        <v>161.87942554176152</v>
      </c>
      <c r="H44" s="11">
        <v>96321.234375</v>
      </c>
      <c r="I44" s="11">
        <v>96227.9921875</v>
      </c>
      <c r="J44" s="34">
        <f t="shared" si="3"/>
        <v>0.5</v>
      </c>
      <c r="K44" s="32">
        <f t="shared" si="4"/>
        <v>96756.668000749967</v>
      </c>
      <c r="L44" s="11">
        <v>3919862</v>
      </c>
      <c r="M44" s="11">
        <f>SUM(K44:K$89)</f>
        <v>3956988.9326263918</v>
      </c>
      <c r="N44" s="33">
        <v>40.695720672607422</v>
      </c>
      <c r="O44" s="37">
        <f t="shared" si="5"/>
        <v>40.862109526007025</v>
      </c>
      <c r="P44" s="52">
        <f t="shared" si="6"/>
        <v>60.773528704204985</v>
      </c>
    </row>
    <row r="45" spans="1:16">
      <c r="A45" s="13" t="s">
        <v>45</v>
      </c>
      <c r="B45" s="10">
        <v>2.0360702183097601E-3</v>
      </c>
      <c r="C45" s="10">
        <f>'[1]Opioid Mortality - WONDER'!H43/100000</f>
        <v>2.6524000000000003E-4</v>
      </c>
      <c r="D45" s="10">
        <f t="shared" si="0"/>
        <v>1.7708302183097602E-3</v>
      </c>
      <c r="E45" s="22">
        <f t="shared" si="1"/>
        <v>1.7710652461612186E-3</v>
      </c>
      <c r="F45" s="11">
        <f t="shared" si="7"/>
        <v>96675.728287979087</v>
      </c>
      <c r="G45" s="11">
        <f t="shared" si="2"/>
        <v>171.21902251816476</v>
      </c>
      <c r="H45" s="11">
        <v>96134.75</v>
      </c>
      <c r="I45" s="11">
        <v>96036.8828125</v>
      </c>
      <c r="J45" s="34">
        <f t="shared" si="3"/>
        <v>0.5</v>
      </c>
      <c r="K45" s="32">
        <f t="shared" si="4"/>
        <v>96590.118776720003</v>
      </c>
      <c r="L45" s="11">
        <v>3823634</v>
      </c>
      <c r="M45" s="11">
        <f>SUM(K45:K$89)</f>
        <v>3860232.264625642</v>
      </c>
      <c r="N45" s="33">
        <v>39.773693084716797</v>
      </c>
      <c r="O45" s="37">
        <f t="shared" si="5"/>
        <v>39.929694174392203</v>
      </c>
      <c r="P45" s="52">
        <f t="shared" si="6"/>
        <v>56.979398003942222</v>
      </c>
    </row>
    <row r="46" spans="1:16">
      <c r="A46" s="13" t="s">
        <v>46</v>
      </c>
      <c r="B46" s="10">
        <v>2.1597782615572214E-3</v>
      </c>
      <c r="C46" s="10">
        <f>'[1]Opioid Mortality - WONDER'!H44/100000</f>
        <v>2.3579999999999999E-4</v>
      </c>
      <c r="D46" s="10">
        <f t="shared" si="0"/>
        <v>1.9239782615572214E-3</v>
      </c>
      <c r="E46" s="22">
        <f t="shared" si="1"/>
        <v>1.9242052799360865E-3</v>
      </c>
      <c r="F46" s="11">
        <f t="shared" si="7"/>
        <v>96504.509265460918</v>
      </c>
      <c r="G46" s="11">
        <f t="shared" si="2"/>
        <v>185.69448626624089</v>
      </c>
      <c r="H46" s="11">
        <v>95939.015625</v>
      </c>
      <c r="I46" s="11">
        <v>95835.4140625</v>
      </c>
      <c r="J46" s="34">
        <f t="shared" si="3"/>
        <v>0.5</v>
      </c>
      <c r="K46" s="32">
        <f t="shared" si="4"/>
        <v>96411.662022327801</v>
      </c>
      <c r="L46" s="11">
        <v>3727597</v>
      </c>
      <c r="M46" s="11">
        <f>SUM(K46:K$89)</f>
        <v>3763642.1458489224</v>
      </c>
      <c r="N46" s="33">
        <v>38.853816986083984</v>
      </c>
      <c r="O46" s="37">
        <f t="shared" si="5"/>
        <v>38.999650632863585</v>
      </c>
      <c r="P46" s="52">
        <f t="shared" si="6"/>
        <v>53.265739486248975</v>
      </c>
    </row>
    <row r="47" spans="1:16">
      <c r="A47" s="13" t="s">
        <v>47</v>
      </c>
      <c r="B47" s="10">
        <v>2.3056466598063707E-3</v>
      </c>
      <c r="C47" s="10">
        <f>'[1]Opioid Mortality - WONDER'!H45/100000</f>
        <v>2.4305E-4</v>
      </c>
      <c r="D47" s="10">
        <f t="shared" si="0"/>
        <v>2.0625966598063709E-3</v>
      </c>
      <c r="E47" s="22">
        <f t="shared" si="1"/>
        <v>2.062847530073908E-3</v>
      </c>
      <c r="F47" s="11">
        <f t="shared" si="7"/>
        <v>96318.814779194683</v>
      </c>
      <c r="G47" s="11">
        <f t="shared" si="2"/>
        <v>198.69102916690798</v>
      </c>
      <c r="H47" s="11">
        <v>95731.8125</v>
      </c>
      <c r="I47" s="11">
        <v>95621.453125</v>
      </c>
      <c r="J47" s="34">
        <f t="shared" si="3"/>
        <v>0.49998230276430822</v>
      </c>
      <c r="K47" s="32">
        <f t="shared" si="4"/>
        <v>96219.472780893208</v>
      </c>
      <c r="L47" s="11">
        <v>3631761.75</v>
      </c>
      <c r="M47" s="11">
        <f>SUM(K47:K$89)</f>
        <v>3667230.4838265944</v>
      </c>
      <c r="N47" s="33">
        <v>37.936832427978516</v>
      </c>
      <c r="O47" s="37">
        <f t="shared" si="5"/>
        <v>38.073874686202359</v>
      </c>
      <c r="P47" s="52">
        <f t="shared" si="6"/>
        <v>50.054684816258771</v>
      </c>
    </row>
    <row r="48" spans="1:16">
      <c r="A48" s="13" t="s">
        <v>48</v>
      </c>
      <c r="B48" s="10">
        <v>2.4699631612747908E-3</v>
      </c>
      <c r="C48" s="10">
        <f>'[1]Opioid Mortality - WONDER'!H46/100000</f>
        <v>2.2352E-4</v>
      </c>
      <c r="D48" s="10">
        <f t="shared" si="0"/>
        <v>2.2464431612747907E-3</v>
      </c>
      <c r="E48" s="22">
        <f t="shared" si="1"/>
        <v>2.2466944494647922E-3</v>
      </c>
      <c r="F48" s="11">
        <f t="shared" si="7"/>
        <v>96120.123750027778</v>
      </c>
      <c r="G48" s="11">
        <f t="shared" si="2"/>
        <v>215.95254851105636</v>
      </c>
      <c r="H48" s="11">
        <v>95511.0859375</v>
      </c>
      <c r="I48" s="11">
        <v>95393.1328125</v>
      </c>
      <c r="J48" s="34">
        <f t="shared" si="3"/>
        <v>0.5</v>
      </c>
      <c r="K48" s="32">
        <f t="shared" si="4"/>
        <v>96012.147475772246</v>
      </c>
      <c r="L48" s="11">
        <v>3536140.25</v>
      </c>
      <c r="M48" s="11">
        <f>SUM(K48:K$89)</f>
        <v>3571011.0110457018</v>
      </c>
      <c r="N48" s="33">
        <v>37.023349761962891</v>
      </c>
      <c r="O48" s="37">
        <f t="shared" si="5"/>
        <v>37.151544044330983</v>
      </c>
      <c r="P48" s="52">
        <f t="shared" si="6"/>
        <v>46.822961634945663</v>
      </c>
    </row>
    <row r="49" spans="1:16">
      <c r="A49" s="13" t="s">
        <v>49</v>
      </c>
      <c r="B49" s="10">
        <v>2.6473840698599815E-3</v>
      </c>
      <c r="C49" s="10">
        <f>'[1]Opioid Mortality - WONDER'!H47/100000</f>
        <v>2.4245000000000001E-4</v>
      </c>
      <c r="D49" s="10">
        <f t="shared" si="0"/>
        <v>2.4049340698599816E-3</v>
      </c>
      <c r="E49" s="22">
        <f t="shared" si="1"/>
        <v>2.4052258892143241E-3</v>
      </c>
      <c r="F49" s="11">
        <f t="shared" si="7"/>
        <v>95904.171201516729</v>
      </c>
      <c r="G49" s="11">
        <f t="shared" si="2"/>
        <v>230.67119545753084</v>
      </c>
      <c r="H49" s="11">
        <v>95275.1796875</v>
      </c>
      <c r="I49" s="11">
        <v>95149.0625</v>
      </c>
      <c r="J49" s="34">
        <f t="shared" si="3"/>
        <v>0.50001548706829801</v>
      </c>
      <c r="K49" s="32">
        <f t="shared" si="4"/>
        <v>95788.832031367405</v>
      </c>
      <c r="L49" s="11">
        <v>3440747</v>
      </c>
      <c r="M49" s="11">
        <f>SUM(K49:K$89)</f>
        <v>3474998.8635699293</v>
      </c>
      <c r="N49" s="33">
        <v>36.113780975341797</v>
      </c>
      <c r="O49" s="37">
        <f t="shared" si="5"/>
        <v>36.234074285133616</v>
      </c>
      <c r="P49" s="52">
        <f t="shared" si="6"/>
        <v>43.937131401461912</v>
      </c>
    </row>
    <row r="50" spans="1:16">
      <c r="A50" s="13" t="s">
        <v>50</v>
      </c>
      <c r="B50" s="10">
        <v>2.8458281885832548E-3</v>
      </c>
      <c r="C50" s="10">
        <f>'[1]Opioid Mortality - WONDER'!H48/100000</f>
        <v>2.3931999999999998E-4</v>
      </c>
      <c r="D50" s="10">
        <f t="shared" si="0"/>
        <v>2.6065081885832549E-3</v>
      </c>
      <c r="E50" s="22">
        <f t="shared" si="1"/>
        <v>2.6068204045767152E-3</v>
      </c>
      <c r="F50" s="11">
        <f t="shared" si="7"/>
        <v>95673.500006059199</v>
      </c>
      <c r="G50" s="11">
        <f t="shared" si="2"/>
        <v>249.4036319930656</v>
      </c>
      <c r="H50" s="11">
        <v>95022.953125</v>
      </c>
      <c r="I50" s="11">
        <v>94887.7421875</v>
      </c>
      <c r="J50" s="34">
        <f t="shared" si="3"/>
        <v>0.5</v>
      </c>
      <c r="K50" s="32">
        <f t="shared" si="4"/>
        <v>95548.798190062662</v>
      </c>
      <c r="L50" s="11">
        <v>3345598</v>
      </c>
      <c r="M50" s="11">
        <f>SUM(K50:K$89)</f>
        <v>3379210.0315385619</v>
      </c>
      <c r="N50" s="33">
        <v>35.20831298828125</v>
      </c>
      <c r="O50" s="37">
        <f t="shared" si="5"/>
        <v>35.320230067098514</v>
      </c>
      <c r="P50" s="52">
        <f t="shared" si="6"/>
        <v>40.877713038005631</v>
      </c>
    </row>
    <row r="51" spans="1:16">
      <c r="A51" s="13" t="s">
        <v>51</v>
      </c>
      <c r="B51" s="10">
        <v>3.0785934068262577E-3</v>
      </c>
      <c r="C51" s="10">
        <f>'[1]Opioid Mortality - WONDER'!H49/100000</f>
        <v>2.5052000000000001E-4</v>
      </c>
      <c r="D51" s="10">
        <f t="shared" si="0"/>
        <v>2.8280734068262575E-3</v>
      </c>
      <c r="E51" s="22">
        <f t="shared" si="1"/>
        <v>2.8284280450388E-3</v>
      </c>
      <c r="F51" s="11">
        <f t="shared" si="7"/>
        <v>95424.096374066139</v>
      </c>
      <c r="G51" s="11">
        <f t="shared" si="2"/>
        <v>269.90019035689392</v>
      </c>
      <c r="H51" s="11">
        <v>94752.53125</v>
      </c>
      <c r="I51" s="11">
        <v>94606.6796875</v>
      </c>
      <c r="J51" s="34">
        <f t="shared" si="3"/>
        <v>0.5</v>
      </c>
      <c r="K51" s="32">
        <f t="shared" si="4"/>
        <v>95289.146278887696</v>
      </c>
      <c r="L51" s="11">
        <v>3250710.25</v>
      </c>
      <c r="M51" s="11">
        <f>SUM(K51:K$89)</f>
        <v>3283661.2333484991</v>
      </c>
      <c r="N51" s="33">
        <v>34.307369232177734</v>
      </c>
      <c r="O51" s="37">
        <f t="shared" si="5"/>
        <v>34.411237393083823</v>
      </c>
      <c r="P51" s="52">
        <f t="shared" si="6"/>
        <v>37.937845770948911</v>
      </c>
    </row>
    <row r="52" spans="1:16">
      <c r="A52" s="13" t="s">
        <v>52</v>
      </c>
      <c r="B52" s="10">
        <v>3.35723627358675E-3</v>
      </c>
      <c r="C52" s="10">
        <f>'[1]Opioid Mortality - WONDER'!H50/100000</f>
        <v>2.3815999999999998E-4</v>
      </c>
      <c r="D52" s="10">
        <f t="shared" si="0"/>
        <v>3.1190762735867502E-3</v>
      </c>
      <c r="E52" s="22">
        <f t="shared" si="1"/>
        <v>3.1194481390982576E-3</v>
      </c>
      <c r="F52" s="11">
        <f t="shared" si="7"/>
        <v>95154.196183709239</v>
      </c>
      <c r="G52" s="11">
        <f t="shared" si="2"/>
        <v>296.8285802126623</v>
      </c>
      <c r="H52" s="11">
        <v>94460.828125</v>
      </c>
      <c r="I52" s="11">
        <v>94302.265625</v>
      </c>
      <c r="J52" s="34">
        <f t="shared" si="3"/>
        <v>0.5</v>
      </c>
      <c r="K52" s="32">
        <f t="shared" si="4"/>
        <v>95005.781893602907</v>
      </c>
      <c r="L52" s="11">
        <v>3156103.5</v>
      </c>
      <c r="M52" s="11">
        <f>SUM(K52:K$89)</f>
        <v>3188372.0870696115</v>
      </c>
      <c r="N52" s="33">
        <v>33.411769866943359</v>
      </c>
      <c r="O52" s="37">
        <f t="shared" si="5"/>
        <v>33.507424947545012</v>
      </c>
      <c r="P52" s="52">
        <f t="shared" si="6"/>
        <v>34.9380181897535</v>
      </c>
    </row>
    <row r="53" spans="1:16">
      <c r="A53" s="13" t="s">
        <v>53</v>
      </c>
      <c r="B53" s="10">
        <v>3.6819539964199066E-3</v>
      </c>
      <c r="C53" s="10">
        <f>'[1]Opioid Mortality - WONDER'!H51/100000</f>
        <v>2.4019999999999998E-4</v>
      </c>
      <c r="D53" s="10">
        <f t="shared" si="0"/>
        <v>3.4417539964199067E-3</v>
      </c>
      <c r="E53" s="22">
        <f t="shared" si="1"/>
        <v>3.4421678925180554E-3</v>
      </c>
      <c r="F53" s="11">
        <f t="shared" si="7"/>
        <v>94857.367603496576</v>
      </c>
      <c r="G53" s="11">
        <f t="shared" si="2"/>
        <v>326.51498513353829</v>
      </c>
      <c r="H53" s="11">
        <v>94143.703125</v>
      </c>
      <c r="I53" s="11">
        <v>93970.390625</v>
      </c>
      <c r="J53" s="34">
        <f t="shared" si="3"/>
        <v>0.49998873087065293</v>
      </c>
      <c r="K53" s="32">
        <f t="shared" si="4"/>
        <v>94694.11379046939</v>
      </c>
      <c r="L53" s="11">
        <v>3061801.25</v>
      </c>
      <c r="M53" s="11">
        <f>SUM(K53:K$89)</f>
        <v>3093366.3051760085</v>
      </c>
      <c r="N53" s="33">
        <v>32.522636413574219</v>
      </c>
      <c r="O53" s="37">
        <f t="shared" si="5"/>
        <v>32.61071209677953</v>
      </c>
      <c r="P53" s="52">
        <f t="shared" si="6"/>
        <v>32.169643290739806</v>
      </c>
    </row>
    <row r="54" spans="1:16">
      <c r="A54" s="13" t="s">
        <v>54</v>
      </c>
      <c r="B54" s="10">
        <v>4.0296413935720921E-3</v>
      </c>
      <c r="C54" s="10">
        <f>'[1]Opioid Mortality - WONDER'!H52/100000</f>
        <v>2.3548999999999998E-4</v>
      </c>
      <c r="D54" s="10">
        <f t="shared" si="0"/>
        <v>3.794151393572092E-3</v>
      </c>
      <c r="E54" s="22">
        <f t="shared" si="1"/>
        <v>3.794598772386526E-3</v>
      </c>
      <c r="F54" s="11">
        <f t="shared" si="7"/>
        <v>94530.852618363031</v>
      </c>
      <c r="G54" s="11">
        <f t="shared" si="2"/>
        <v>358.70665729829199</v>
      </c>
      <c r="H54" s="11">
        <v>93797.0703125</v>
      </c>
      <c r="I54" s="11">
        <v>93608.0859375</v>
      </c>
      <c r="J54" s="34">
        <f t="shared" si="3"/>
        <v>0.5</v>
      </c>
      <c r="K54" s="32">
        <f t="shared" si="4"/>
        <v>94351.499289713887</v>
      </c>
      <c r="L54" s="11">
        <v>2967831</v>
      </c>
      <c r="M54" s="11">
        <f>SUM(K54:K$89)</f>
        <v>2998672.1913855392</v>
      </c>
      <c r="N54" s="33">
        <v>31.64097785949707</v>
      </c>
      <c r="O54" s="37">
        <f t="shared" si="5"/>
        <v>31.721624298594701</v>
      </c>
      <c r="P54" s="52">
        <f t="shared" si="6"/>
        <v>29.456111880409694</v>
      </c>
    </row>
    <row r="55" spans="1:16">
      <c r="A55" s="13" t="s">
        <v>55</v>
      </c>
      <c r="B55" s="10">
        <v>4.4009480625391006E-3</v>
      </c>
      <c r="C55" s="10">
        <f>'[1]Opioid Mortality - WONDER'!H53/100000</f>
        <v>2.4772999999999999E-4</v>
      </c>
      <c r="D55" s="10">
        <f t="shared" si="0"/>
        <v>4.1532180625391008E-3</v>
      </c>
      <c r="E55" s="22">
        <f t="shared" si="1"/>
        <v>4.1537332998555776E-3</v>
      </c>
      <c r="F55" s="11">
        <f t="shared" si="7"/>
        <v>94172.145961064743</v>
      </c>
      <c r="G55" s="11">
        <f t="shared" si="2"/>
        <v>391.16597859733457</v>
      </c>
      <c r="H55" s="11">
        <v>93419.1015625</v>
      </c>
      <c r="I55" s="11">
        <v>93213.53125</v>
      </c>
      <c r="J55" s="34">
        <f t="shared" si="3"/>
        <v>0.50000950118764842</v>
      </c>
      <c r="K55" s="32">
        <f t="shared" si="4"/>
        <v>93976.559255224711</v>
      </c>
      <c r="L55" s="11">
        <v>2874222.75</v>
      </c>
      <c r="M55" s="11">
        <f>SUM(K55:K$89)</f>
        <v>2904320.6920958254</v>
      </c>
      <c r="N55" s="33">
        <v>30.766969680786133</v>
      </c>
      <c r="O55" s="37">
        <f t="shared" si="5"/>
        <v>30.840549107764947</v>
      </c>
      <c r="P55" s="52">
        <f t="shared" si="6"/>
        <v>26.874885704011703</v>
      </c>
    </row>
    <row r="56" spans="1:16">
      <c r="A56" s="13" t="s">
        <v>56</v>
      </c>
      <c r="B56" s="10">
        <v>4.8200725577771664E-3</v>
      </c>
      <c r="C56" s="10">
        <f>'[1]Opioid Mortality - WONDER'!H54/100000</f>
        <v>2.2827000000000001E-4</v>
      </c>
      <c r="D56" s="10">
        <f t="shared" si="0"/>
        <v>4.5918025577771663E-3</v>
      </c>
      <c r="E56" s="22">
        <f t="shared" si="1"/>
        <v>4.5923275272651276E-3</v>
      </c>
      <c r="F56" s="11">
        <f t="shared" si="7"/>
        <v>93780.979982467412</v>
      </c>
      <c r="G56" s="11">
        <f t="shared" si="2"/>
        <v>430.67297590738502</v>
      </c>
      <c r="H56" s="11">
        <v>93007.96875</v>
      </c>
      <c r="I56" s="11">
        <v>92783.8125</v>
      </c>
      <c r="J56" s="34">
        <f t="shared" si="3"/>
        <v>0.50000871338201214</v>
      </c>
      <c r="K56" s="32">
        <f t="shared" si="4"/>
        <v>93565.63974189556</v>
      </c>
      <c r="L56" s="11">
        <v>2781009.25</v>
      </c>
      <c r="M56" s="11">
        <f>SUM(K56:K$89)</f>
        <v>2810344.1328406008</v>
      </c>
      <c r="N56" s="33">
        <v>29.900762557983398</v>
      </c>
      <c r="O56" s="37">
        <f t="shared" si="5"/>
        <v>29.967101360702369</v>
      </c>
      <c r="P56" s="52">
        <f t="shared" si="6"/>
        <v>24.230247693103944</v>
      </c>
    </row>
    <row r="57" spans="1:16">
      <c r="A57" s="13" t="s">
        <v>57</v>
      </c>
      <c r="B57" s="10">
        <v>5.2849845960736275E-3</v>
      </c>
      <c r="C57" s="10">
        <f>'[1]Opioid Mortality - WONDER'!H55/100000</f>
        <v>2.4474000000000002E-4</v>
      </c>
      <c r="D57" s="10">
        <f t="shared" si="0"/>
        <v>5.0402445960736272E-3</v>
      </c>
      <c r="E57" s="22">
        <f t="shared" si="1"/>
        <v>5.0408625107533078E-3</v>
      </c>
      <c r="F57" s="11">
        <f t="shared" si="7"/>
        <v>93350.307006560033</v>
      </c>
      <c r="G57" s="11">
        <f t="shared" si="2"/>
        <v>470.5660629566803</v>
      </c>
      <c r="H57" s="11">
        <v>92559.6640625</v>
      </c>
      <c r="I57" s="11">
        <v>92315.078125</v>
      </c>
      <c r="J57" s="34">
        <f t="shared" si="3"/>
        <v>0.49999201469296495</v>
      </c>
      <c r="K57" s="32">
        <f t="shared" si="4"/>
        <v>93115.02773269618</v>
      </c>
      <c r="L57" s="11">
        <v>2688225.5</v>
      </c>
      <c r="M57" s="11">
        <f>SUM(K57:K$89)</f>
        <v>2716778.4930987046</v>
      </c>
      <c r="N57" s="33">
        <v>29.043163299560547</v>
      </c>
      <c r="O57" s="37">
        <f t="shared" si="5"/>
        <v>29.103048294289891</v>
      </c>
      <c r="P57" s="52">
        <f t="shared" si="6"/>
        <v>21.872994324893078</v>
      </c>
    </row>
    <row r="58" spans="1:16">
      <c r="A58" s="13" t="s">
        <v>58</v>
      </c>
      <c r="B58" s="10">
        <v>5.7783392257988453E-3</v>
      </c>
      <c r="C58" s="10">
        <f>'[1]Opioid Mortality - WONDER'!H56/100000</f>
        <v>2.4164000000000002E-4</v>
      </c>
      <c r="D58" s="10">
        <f t="shared" si="0"/>
        <v>5.5366992257988449E-3</v>
      </c>
      <c r="E58" s="22">
        <f t="shared" si="1"/>
        <v>5.5373695161156089E-3</v>
      </c>
      <c r="F58" s="11">
        <f t="shared" si="7"/>
        <v>92879.740943603349</v>
      </c>
      <c r="G58" s="11">
        <f t="shared" si="2"/>
        <v>514.30944616582394</v>
      </c>
      <c r="H58" s="11">
        <v>92070.484375</v>
      </c>
      <c r="I58" s="11">
        <v>91804.4765625</v>
      </c>
      <c r="J58" s="34">
        <f t="shared" si="3"/>
        <v>0.5</v>
      </c>
      <c r="K58" s="32">
        <f t="shared" si="4"/>
        <v>92622.586220520432</v>
      </c>
      <c r="L58" s="11">
        <v>2595910.5</v>
      </c>
      <c r="M58" s="11">
        <f>SUM(K58:K$89)</f>
        <v>2623663.4653660082</v>
      </c>
      <c r="N58" s="33">
        <v>28.194816589355469</v>
      </c>
      <c r="O58" s="37">
        <f t="shared" si="5"/>
        <v>28.247962781884791</v>
      </c>
      <c r="P58" s="52">
        <f t="shared" si="6"/>
        <v>19.411646821334926</v>
      </c>
    </row>
    <row r="59" spans="1:16">
      <c r="A59" s="13" t="s">
        <v>59</v>
      </c>
      <c r="B59" s="10">
        <v>6.2836850993335247E-3</v>
      </c>
      <c r="C59" s="10">
        <f>'[1]Opioid Mortality - WONDER'!H57/100000</f>
        <v>2.3112E-4</v>
      </c>
      <c r="D59" s="10">
        <f t="shared" si="0"/>
        <v>6.0525650993335251E-3</v>
      </c>
      <c r="E59" s="22">
        <f t="shared" si="1"/>
        <v>6.0532660575278729E-3</v>
      </c>
      <c r="F59" s="11">
        <f t="shared" si="7"/>
        <v>92365.43149743753</v>
      </c>
      <c r="G59" s="11">
        <f t="shared" si="2"/>
        <v>559.11253137235451</v>
      </c>
      <c r="H59" s="11">
        <v>91538.46875</v>
      </c>
      <c r="I59" s="11">
        <v>91250.875</v>
      </c>
      <c r="J59" s="34">
        <f t="shared" si="3"/>
        <v>0.49999320882852294</v>
      </c>
      <c r="K59" s="32">
        <f t="shared" si="4"/>
        <v>92085.87902878043</v>
      </c>
      <c r="L59" s="11">
        <v>2504106</v>
      </c>
      <c r="M59" s="11">
        <f>SUM(K59:K$89)</f>
        <v>2531040.8791454877</v>
      </c>
      <c r="N59" s="33">
        <v>27.355777740478516</v>
      </c>
      <c r="O59" s="37">
        <f t="shared" si="5"/>
        <v>27.402469063501378</v>
      </c>
      <c r="P59" s="52">
        <f t="shared" si="6"/>
        <v>17.054005734100606</v>
      </c>
    </row>
    <row r="60" spans="1:16">
      <c r="A60" s="13" t="s">
        <v>60</v>
      </c>
      <c r="B60" s="10">
        <v>6.7942789755761623E-3</v>
      </c>
      <c r="C60" s="10">
        <f>'[1]Opioid Mortality - WONDER'!H58/100000</f>
        <v>2.1271999999999998E-4</v>
      </c>
      <c r="D60" s="10">
        <f t="shared" si="0"/>
        <v>6.5815589755761628E-3</v>
      </c>
      <c r="E60" s="22">
        <f t="shared" si="1"/>
        <v>6.5822606308539866E-3</v>
      </c>
      <c r="F60" s="11">
        <f t="shared" si="7"/>
        <v>91806.31896606517</v>
      </c>
      <c r="G60" s="11">
        <f t="shared" si="2"/>
        <v>604.29311899395441</v>
      </c>
      <c r="H60" s="11">
        <v>90963.2734375</v>
      </c>
      <c r="I60" s="11">
        <v>90654.2578125</v>
      </c>
      <c r="J60" s="34">
        <f t="shared" si="3"/>
        <v>0.5</v>
      </c>
      <c r="K60" s="32">
        <f t="shared" si="4"/>
        <v>91504.172406568192</v>
      </c>
      <c r="L60" s="11">
        <v>2412855</v>
      </c>
      <c r="M60" s="11">
        <f>SUM(K60:K$89)</f>
        <v>2438955.0001167078</v>
      </c>
      <c r="N60" s="33">
        <v>26.525594711303711</v>
      </c>
      <c r="O60" s="37">
        <f t="shared" si="5"/>
        <v>26.566308589479892</v>
      </c>
      <c r="P60" s="52">
        <f t="shared" si="6"/>
        <v>14.870744003850067</v>
      </c>
    </row>
    <row r="61" spans="1:16">
      <c r="A61" s="13" t="s">
        <v>61</v>
      </c>
      <c r="B61" s="10">
        <v>7.3187043890357018E-3</v>
      </c>
      <c r="C61" s="10">
        <f>'[1]Opioid Mortality - WONDER'!H59/100000</f>
        <v>2.0873999999999998E-4</v>
      </c>
      <c r="D61" s="10">
        <f t="shared" si="0"/>
        <v>7.109964389035702E-3</v>
      </c>
      <c r="E61" s="22">
        <f t="shared" si="1"/>
        <v>7.1107083249164482E-3</v>
      </c>
      <c r="F61" s="11">
        <f t="shared" si="7"/>
        <v>91202.025847071214</v>
      </c>
      <c r="G61" s="11">
        <f>F61*E61</f>
        <v>648.5110044400144</v>
      </c>
      <c r="H61" s="11">
        <v>90345.2421875</v>
      </c>
      <c r="I61" s="11">
        <v>90014.640625</v>
      </c>
      <c r="J61" s="34">
        <f>(H61-I61)/(H61-H62)</f>
        <v>0.49999409227860814</v>
      </c>
      <c r="K61" s="32">
        <f t="shared" si="4"/>
        <v>90877.774176073537</v>
      </c>
      <c r="L61" s="11">
        <v>2322200.75</v>
      </c>
      <c r="M61" s="11">
        <f>SUM(K61:K$89)</f>
        <v>2347450.8277101396</v>
      </c>
      <c r="N61" s="33">
        <v>25.703630447387695</v>
      </c>
      <c r="O61" s="37">
        <f t="shared" si="5"/>
        <v>25.739020662176703</v>
      </c>
      <c r="P61" s="52">
        <f t="shared" si="6"/>
        <v>12.926275951684989</v>
      </c>
    </row>
    <row r="62" spans="1:16">
      <c r="A62" s="13" t="s">
        <v>62</v>
      </c>
      <c r="B62" s="10">
        <v>7.8689772635698318E-3</v>
      </c>
      <c r="C62" s="10">
        <f>'[1]Opioid Mortality - WONDER'!H60/100000</f>
        <v>2.0018999999999999E-4</v>
      </c>
      <c r="D62" s="10">
        <f t="shared" si="0"/>
        <v>7.6687872635698316E-3</v>
      </c>
      <c r="E62" s="22">
        <f t="shared" si="1"/>
        <v>7.6695569437474909E-3</v>
      </c>
      <c r="F62" s="11">
        <f t="shared" si="7"/>
        <v>90553.514842631193</v>
      </c>
      <c r="G62" s="11">
        <f t="shared" si="2"/>
        <v>694.50533854204355</v>
      </c>
      <c r="H62" s="11">
        <v>89684.03125</v>
      </c>
      <c r="I62" s="11">
        <v>89331.171875</v>
      </c>
      <c r="J62" s="34">
        <f t="shared" si="3"/>
        <v>0.5</v>
      </c>
      <c r="K62" s="32">
        <f t="shared" si="4"/>
        <v>90206.26217336017</v>
      </c>
      <c r="L62" s="11">
        <v>2232186.25</v>
      </c>
      <c r="M62" s="11">
        <f>SUM(K62:K$89)</f>
        <v>2256573.0535340658</v>
      </c>
      <c r="N62" s="33">
        <v>24.889450073242188</v>
      </c>
      <c r="O62" s="37">
        <f t="shared" si="5"/>
        <v>24.919773213173016</v>
      </c>
      <c r="P62" s="52">
        <f t="shared" si="6"/>
        <v>11.07552685973522</v>
      </c>
    </row>
    <row r="63" spans="1:16">
      <c r="A63" s="13" t="s">
        <v>63</v>
      </c>
      <c r="B63" s="10">
        <v>8.4562739357352257E-3</v>
      </c>
      <c r="C63" s="10">
        <f>'[1]Opioid Mortality - WONDER'!H61/100000</f>
        <v>1.738E-4</v>
      </c>
      <c r="D63" s="10">
        <f t="shared" si="0"/>
        <v>8.2824739357352257E-3</v>
      </c>
      <c r="E63" s="22">
        <f t="shared" si="1"/>
        <v>8.2831957620999042E-3</v>
      </c>
      <c r="F63" s="11">
        <f t="shared" si="7"/>
        <v>89859.009504089147</v>
      </c>
      <c r="G63" s="11">
        <f t="shared" si="2"/>
        <v>744.3197667107662</v>
      </c>
      <c r="H63" s="11">
        <v>88978.3125</v>
      </c>
      <c r="I63" s="11">
        <v>88602.1015625</v>
      </c>
      <c r="J63" s="34">
        <f t="shared" si="3"/>
        <v>0.5</v>
      </c>
      <c r="K63" s="32">
        <f t="shared" si="4"/>
        <v>89486.849620733759</v>
      </c>
      <c r="L63" s="11">
        <v>2142855</v>
      </c>
      <c r="M63" s="11">
        <f>SUM(K63:K$89)</f>
        <v>2166366.7913607056</v>
      </c>
      <c r="N63" s="33">
        <v>24.082891464233398</v>
      </c>
      <c r="O63" s="37">
        <f t="shared" si="5"/>
        <v>24.108509578687514</v>
      </c>
      <c r="P63" s="52">
        <f t="shared" si="6"/>
        <v>9.3570163043655832</v>
      </c>
    </row>
    <row r="64" spans="1:16">
      <c r="A64" s="13" t="s">
        <v>64</v>
      </c>
      <c r="B64" s="10">
        <v>9.0925619006156921E-3</v>
      </c>
      <c r="C64" s="10">
        <f>'[1]Opioid Mortality - WONDER'!H62/100000</f>
        <v>1.6071000000000002E-4</v>
      </c>
      <c r="D64" s="10">
        <f t="shared" si="0"/>
        <v>8.9318519006156925E-3</v>
      </c>
      <c r="E64" s="22">
        <f t="shared" si="1"/>
        <v>8.9325718435340207E-3</v>
      </c>
      <c r="F64" s="11">
        <f t="shared" si="7"/>
        <v>89114.689737378387</v>
      </c>
      <c r="G64" s="11">
        <f t="shared" si="2"/>
        <v>796.02336839337636</v>
      </c>
      <c r="H64" s="11">
        <v>88225.890625</v>
      </c>
      <c r="I64" s="11">
        <v>87824.7890625</v>
      </c>
      <c r="J64" s="34">
        <f t="shared" si="3"/>
        <v>0.5</v>
      </c>
      <c r="K64" s="32">
        <f t="shared" si="4"/>
        <v>88716.678053181706</v>
      </c>
      <c r="L64" s="11">
        <v>2054252.875</v>
      </c>
      <c r="M64" s="11">
        <f>SUM(K64:K$89)</f>
        <v>2076879.9417399722</v>
      </c>
      <c r="N64" s="33">
        <v>23.284013748168945</v>
      </c>
      <c r="O64" s="37">
        <f t="shared" si="5"/>
        <v>23.305696825748392</v>
      </c>
      <c r="P64" s="52">
        <f t="shared" si="6"/>
        <v>7.9197440858927681</v>
      </c>
    </row>
    <row r="65" spans="1:16">
      <c r="A65" s="13" t="s">
        <v>65</v>
      </c>
      <c r="B65" s="10">
        <v>9.7675202414393425E-3</v>
      </c>
      <c r="C65" s="10">
        <f>'[1]Opioid Mortality - WONDER'!H63/100000</f>
        <v>1.4296999999999999E-4</v>
      </c>
      <c r="D65" s="10">
        <f t="shared" si="0"/>
        <v>9.6245502414393433E-3</v>
      </c>
      <c r="E65" s="22">
        <f t="shared" si="1"/>
        <v>9.6252405365029325E-3</v>
      </c>
      <c r="F65" s="11">
        <f t="shared" si="7"/>
        <v>88318.66636898501</v>
      </c>
      <c r="G65" s="11">
        <f t="shared" si="2"/>
        <v>850.08840766463277</v>
      </c>
      <c r="H65" s="11">
        <v>87423.6875</v>
      </c>
      <c r="I65" s="11">
        <v>86996.734375</v>
      </c>
      <c r="J65" s="34">
        <f t="shared" si="3"/>
        <v>0.49999542547643661</v>
      </c>
      <c r="K65" s="32">
        <f t="shared" si="4"/>
        <v>87893.626053902146</v>
      </c>
      <c r="L65" s="11">
        <v>1966428.125</v>
      </c>
      <c r="M65" s="11">
        <f>SUM(K65:K$89)</f>
        <v>1988163.2636867906</v>
      </c>
      <c r="N65" s="33">
        <v>22.493082046508789</v>
      </c>
      <c r="O65" s="37">
        <f t="shared" si="5"/>
        <v>22.511246437762978</v>
      </c>
      <c r="P65" s="52">
        <f t="shared" si="6"/>
        <v>6.6345439055924125</v>
      </c>
    </row>
    <row r="66" spans="1:16">
      <c r="A66" s="13" t="s">
        <v>66</v>
      </c>
      <c r="B66" s="10">
        <v>1.0466912761330605E-2</v>
      </c>
      <c r="C66" s="10">
        <f>'[1]Opioid Mortality - WONDER'!H64/100000</f>
        <v>1.3061E-4</v>
      </c>
      <c r="D66" s="10">
        <f t="shared" si="0"/>
        <v>1.0336302761330605E-2</v>
      </c>
      <c r="E66" s="22">
        <f t="shared" si="1"/>
        <v>1.0336980170705057E-2</v>
      </c>
      <c r="F66" s="11">
        <f t="shared" si="7"/>
        <v>87468.577961320378</v>
      </c>
      <c r="G66" s="11">
        <f t="shared" si="2"/>
        <v>904.1609559459381</v>
      </c>
      <c r="H66" s="11">
        <v>86569.7734375</v>
      </c>
      <c r="I66" s="11">
        <v>86116.71875</v>
      </c>
      <c r="J66" s="34">
        <f t="shared" si="3"/>
        <v>0.49999568902339137</v>
      </c>
      <c r="K66" s="32">
        <f t="shared" si="4"/>
        <v>87016.50138116414</v>
      </c>
      <c r="L66" s="11">
        <v>1879431.375</v>
      </c>
      <c r="M66" s="11">
        <f>SUM(K66:K$89)</f>
        <v>1900269.6376328883</v>
      </c>
      <c r="N66" s="33">
        <v>21.710018157958984</v>
      </c>
      <c r="O66" s="37">
        <f t="shared" si="5"/>
        <v>21.725168991237169</v>
      </c>
      <c r="P66" s="52">
        <f t="shared" si="6"/>
        <v>5.5338418548568704</v>
      </c>
    </row>
    <row r="67" spans="1:16">
      <c r="A67" s="13" t="s">
        <v>67</v>
      </c>
      <c r="B67" s="10">
        <v>1.1180669069290161E-2</v>
      </c>
      <c r="C67" s="10">
        <f>'[1]Opioid Mortality - WONDER'!H65/100000</f>
        <v>1.1326000000000001E-4</v>
      </c>
      <c r="D67" s="10">
        <f t="shared" si="0"/>
        <v>1.1067409069290161E-2</v>
      </c>
      <c r="E67" s="22">
        <f t="shared" si="1"/>
        <v>1.1068038189492868E-2</v>
      </c>
      <c r="F67" s="11">
        <f t="shared" si="7"/>
        <v>86564.417005374446</v>
      </c>
      <c r="G67" s="11">
        <f t="shared" si="2"/>
        <v>958.09827326667028</v>
      </c>
      <c r="H67" s="11">
        <v>85663.65625</v>
      </c>
      <c r="I67" s="11">
        <v>85184.765625</v>
      </c>
      <c r="J67" s="34">
        <f t="shared" si="3"/>
        <v>0.50000407846975814</v>
      </c>
      <c r="K67" s="32">
        <f t="shared" si="4"/>
        <v>86085.363961166266</v>
      </c>
      <c r="L67" s="11">
        <v>1793314.625</v>
      </c>
      <c r="M67" s="11">
        <f>SUM(K67:K$89)</f>
        <v>1813253.1362517241</v>
      </c>
      <c r="N67" s="33">
        <v>20.934370040893555</v>
      </c>
      <c r="O67" s="37">
        <f t="shared" si="5"/>
        <v>20.946864762447905</v>
      </c>
      <c r="P67" s="52">
        <f t="shared" si="6"/>
        <v>4.5636970477265999</v>
      </c>
    </row>
    <row r="68" spans="1:16">
      <c r="A68" s="13" t="s">
        <v>68</v>
      </c>
      <c r="B68" s="10">
        <v>1.192191056907177E-2</v>
      </c>
      <c r="C68" s="10">
        <f>'[1]Opioid Mortality - WONDER'!H66/100000</f>
        <v>1.0590999999999999E-4</v>
      </c>
      <c r="D68" s="10">
        <f t="shared" si="0"/>
        <v>1.1816000569071769E-2</v>
      </c>
      <c r="E68" s="22">
        <f t="shared" si="1"/>
        <v>1.1816628809178886E-2</v>
      </c>
      <c r="F68" s="11">
        <f t="shared" si="7"/>
        <v>85606.318732107771</v>
      </c>
      <c r="G68" s="11">
        <f t="shared" si="2"/>
        <v>1011.5780921775748</v>
      </c>
      <c r="H68" s="11">
        <v>84705.8828125</v>
      </c>
      <c r="I68" s="11">
        <v>84200.953125</v>
      </c>
      <c r="J68" s="34">
        <f t="shared" si="3"/>
        <v>0.5</v>
      </c>
      <c r="K68" s="32">
        <f t="shared" si="4"/>
        <v>85100.529686018985</v>
      </c>
      <c r="L68" s="11">
        <v>1708129.875</v>
      </c>
      <c r="M68" s="11">
        <f>SUM(K68:K$89)</f>
        <v>1727167.7722905579</v>
      </c>
      <c r="N68" s="33">
        <v>20.165422439575195</v>
      </c>
      <c r="O68" s="37">
        <f t="shared" si="5"/>
        <v>20.175704292290295</v>
      </c>
      <c r="P68" s="52">
        <f t="shared" si="6"/>
        <v>3.7554467041900574</v>
      </c>
    </row>
    <row r="69" spans="1:16">
      <c r="A69" s="13" t="s">
        <v>69</v>
      </c>
      <c r="B69" s="10">
        <v>1.2710461392998695E-2</v>
      </c>
      <c r="C69" s="10">
        <f>'[1]Opioid Mortality - WONDER'!H67/100000</f>
        <v>8.632E-5</v>
      </c>
      <c r="D69" s="10">
        <f t="shared" ref="D69:D89" si="8">B69-C69</f>
        <v>1.2624141392998695E-2</v>
      </c>
      <c r="E69" s="22">
        <f t="shared" ref="E69:E89" si="9">1-(1-B69)^(D69/B69)</f>
        <v>1.2624688590018751E-2</v>
      </c>
      <c r="F69" s="11">
        <f t="shared" si="7"/>
        <v>84594.740639930198</v>
      </c>
      <c r="G69" s="11">
        <f t="shared" ref="G69:G88" si="10">F69*E69</f>
        <v>1067.9822569325222</v>
      </c>
      <c r="H69" s="11">
        <v>83696.0234375</v>
      </c>
      <c r="I69" s="11">
        <v>83164.1171875</v>
      </c>
      <c r="J69" s="34">
        <f t="shared" ref="J69:J88" si="11">(H69-I69)/(H69-H70)</f>
        <v>0.5</v>
      </c>
      <c r="K69" s="32">
        <f t="shared" ref="K69:K88" si="12">(1-J69)*F69+(J69*F70)</f>
        <v>84060.749511463946</v>
      </c>
      <c r="L69" s="11">
        <v>1623929</v>
      </c>
      <c r="M69" s="11">
        <f>SUM(K69:K$89)</f>
        <v>1642067.242604539</v>
      </c>
      <c r="N69" s="33">
        <v>19.402702331542969</v>
      </c>
      <c r="O69" s="37">
        <f t="shared" ref="O69:O88" si="13">M69/F69</f>
        <v>19.410985011395077</v>
      </c>
      <c r="P69" s="52">
        <f t="shared" ref="P69:P89" si="14">(O69-N69)*365.25</f>
        <v>3.0252488159825521</v>
      </c>
    </row>
    <row r="70" spans="1:16">
      <c r="A70" s="13" t="s">
        <v>70</v>
      </c>
      <c r="B70" s="10">
        <v>1.3621198944747448E-2</v>
      </c>
      <c r="C70" s="10">
        <f>'[1]Opioid Mortality - WONDER'!H68/100000</f>
        <v>7.4469999999999997E-5</v>
      </c>
      <c r="D70" s="10">
        <f t="shared" si="8"/>
        <v>1.3546728944747448E-2</v>
      </c>
      <c r="E70" s="22">
        <f t="shared" si="9"/>
        <v>1.3547235675810954E-2</v>
      </c>
      <c r="F70" s="11">
        <f t="shared" ref="F70:F88" si="15">F69*(1-E69)</f>
        <v>83526.758382997679</v>
      </c>
      <c r="G70" s="11">
        <f t="shared" si="10"/>
        <v>1131.5566810509879</v>
      </c>
      <c r="H70" s="11">
        <v>82632.2109375</v>
      </c>
      <c r="I70" s="11">
        <v>82069.4375</v>
      </c>
      <c r="J70" s="34">
        <f t="shared" si="11"/>
        <v>0.5</v>
      </c>
      <c r="K70" s="32">
        <f t="shared" si="12"/>
        <v>82960.980042472191</v>
      </c>
      <c r="L70" s="11">
        <v>1540764.875</v>
      </c>
      <c r="M70" s="11">
        <f>SUM(K70:K$89)</f>
        <v>1558006.4930930752</v>
      </c>
      <c r="N70" s="33">
        <v>18.64605712890625</v>
      </c>
      <c r="O70" s="37">
        <f t="shared" si="13"/>
        <v>18.652782931537971</v>
      </c>
      <c r="P70" s="52">
        <f t="shared" si="14"/>
        <v>2.4565994112359171</v>
      </c>
    </row>
    <row r="71" spans="1:16">
      <c r="A71" s="13" t="s">
        <v>71</v>
      </c>
      <c r="B71" s="10">
        <v>1.4620319940149784E-2</v>
      </c>
      <c r="C71" s="10">
        <f>'[1]Opioid Mortality - WONDER'!H69/100000</f>
        <v>6.0979999999999996E-5</v>
      </c>
      <c r="D71" s="10">
        <f t="shared" si="8"/>
        <v>1.4559339940149784E-2</v>
      </c>
      <c r="E71" s="22">
        <f t="shared" si="9"/>
        <v>1.4559786042892431E-2</v>
      </c>
      <c r="F71" s="11">
        <f t="shared" si="15"/>
        <v>82395.201701946688</v>
      </c>
      <c r="G71" s="11">
        <f t="shared" si="10"/>
        <v>1199.65650774131</v>
      </c>
      <c r="H71" s="11">
        <v>81506.6640625</v>
      </c>
      <c r="I71" s="11">
        <v>80910.8359375</v>
      </c>
      <c r="J71" s="34">
        <f t="shared" si="11"/>
        <v>0.5</v>
      </c>
      <c r="K71" s="32">
        <f t="shared" si="12"/>
        <v>81795.373448076032</v>
      </c>
      <c r="L71" s="11">
        <v>1458695.375</v>
      </c>
      <c r="M71" s="11">
        <f>SUM(K71:K$89)</f>
        <v>1475045.5130506032</v>
      </c>
      <c r="N71" s="33">
        <v>17.896638870239258</v>
      </c>
      <c r="O71" s="37">
        <f t="shared" si="13"/>
        <v>17.902080249604552</v>
      </c>
      <c r="P71" s="52">
        <f t="shared" si="14"/>
        <v>1.9874638131736688</v>
      </c>
    </row>
    <row r="72" spans="1:16">
      <c r="A72" s="13" t="s">
        <v>72</v>
      </c>
      <c r="B72" s="10">
        <v>1.5770327299833298E-2</v>
      </c>
      <c r="C72" s="10">
        <f>'[1]Opioid Mortality - WONDER'!H70/100000</f>
        <v>5.2899999999999998E-5</v>
      </c>
      <c r="D72" s="10">
        <f t="shared" si="8"/>
        <v>1.5717427299833296E-2</v>
      </c>
      <c r="E72" s="22">
        <f t="shared" si="9"/>
        <v>1.5717845235978745E-2</v>
      </c>
      <c r="F72" s="11">
        <f t="shared" si="15"/>
        <v>81195.545194205377</v>
      </c>
      <c r="G72" s="11">
        <f t="shared" si="10"/>
        <v>1276.2190132134378</v>
      </c>
      <c r="H72" s="11">
        <v>80315.0078125</v>
      </c>
      <c r="I72" s="11">
        <v>79681.7109375</v>
      </c>
      <c r="J72" s="34">
        <f t="shared" si="11"/>
        <v>0.5</v>
      </c>
      <c r="K72" s="32">
        <f t="shared" si="12"/>
        <v>80557.435687598656</v>
      </c>
      <c r="L72" s="11">
        <v>1377784.5</v>
      </c>
      <c r="M72" s="11">
        <f>SUM(K72:K$89)</f>
        <v>1393250.1396025273</v>
      </c>
      <c r="N72" s="33">
        <v>17.154758453369141</v>
      </c>
      <c r="O72" s="37">
        <f t="shared" si="13"/>
        <v>17.159194340897884</v>
      </c>
      <c r="P72" s="52">
        <f t="shared" si="14"/>
        <v>1.6202079198733479</v>
      </c>
    </row>
    <row r="73" spans="1:16">
      <c r="A73" s="13" t="s">
        <v>73</v>
      </c>
      <c r="B73" s="10">
        <v>1.7100013792514801E-2</v>
      </c>
      <c r="C73" s="10">
        <f>'[1]Opioid Mortality - WONDER'!H71/100000</f>
        <v>4.8369999999999999E-5</v>
      </c>
      <c r="D73" s="10">
        <f t="shared" si="8"/>
        <v>1.7051643792514802E-2</v>
      </c>
      <c r="E73" s="22">
        <f t="shared" si="9"/>
        <v>1.7052058564209882E-2</v>
      </c>
      <c r="F73" s="11">
        <f t="shared" si="15"/>
        <v>79919.326180991935</v>
      </c>
      <c r="G73" s="11">
        <f t="shared" si="10"/>
        <v>1362.7890304504665</v>
      </c>
      <c r="H73" s="11">
        <v>79048.4140625</v>
      </c>
      <c r="I73" s="11">
        <v>78372.546875</v>
      </c>
      <c r="J73" s="34">
        <f t="shared" si="11"/>
        <v>0.50000288982262264</v>
      </c>
      <c r="K73" s="32">
        <f t="shared" si="12"/>
        <v>79237.927727548129</v>
      </c>
      <c r="L73" s="11">
        <v>1298102.875</v>
      </c>
      <c r="M73" s="11">
        <f>SUM(K73:K$89)</f>
        <v>1312692.7039149287</v>
      </c>
      <c r="N73" s="33">
        <v>16.42161750793457</v>
      </c>
      <c r="O73" s="37">
        <f t="shared" si="13"/>
        <v>16.425222366641279</v>
      </c>
      <c r="P73" s="52">
        <f t="shared" si="14"/>
        <v>1.3166746426253049</v>
      </c>
    </row>
    <row r="74" spans="1:16">
      <c r="A74" s="13" t="s">
        <v>74</v>
      </c>
      <c r="B74" s="10">
        <v>1.8428446725010872E-2</v>
      </c>
      <c r="C74" s="10">
        <f>'[1]Opioid Mortality - WONDER'!H72/100000</f>
        <v>2.9780000000000003E-5</v>
      </c>
      <c r="D74" s="10">
        <f t="shared" si="8"/>
        <v>1.8398666725010872E-2</v>
      </c>
      <c r="E74" s="22">
        <f t="shared" si="9"/>
        <v>1.8398942382457983E-2</v>
      </c>
      <c r="F74" s="11">
        <f t="shared" si="15"/>
        <v>78556.537150541466</v>
      </c>
      <c r="G74" s="11">
        <f t="shared" si="10"/>
        <v>1445.3572007982325</v>
      </c>
      <c r="H74" s="11">
        <v>77696.6875</v>
      </c>
      <c r="I74" s="11">
        <v>76980.7734375</v>
      </c>
      <c r="J74" s="34">
        <f t="shared" si="11"/>
        <v>0.5</v>
      </c>
      <c r="K74" s="32">
        <f t="shared" si="12"/>
        <v>77833.858550142351</v>
      </c>
      <c r="L74" s="11">
        <v>1219730.25</v>
      </c>
      <c r="M74" s="11">
        <f>SUM(K74:K$89)</f>
        <v>1233454.7761873805</v>
      </c>
      <c r="N74" s="33">
        <v>15.698613166809082</v>
      </c>
      <c r="O74" s="37">
        <f t="shared" si="13"/>
        <v>15.701491192561798</v>
      </c>
      <c r="P74" s="52">
        <f t="shared" si="14"/>
        <v>1.0511989061796432</v>
      </c>
    </row>
    <row r="75" spans="1:16">
      <c r="A75" s="13" t="s">
        <v>75</v>
      </c>
      <c r="B75" s="10">
        <v>2.0316941663622856E-2</v>
      </c>
      <c r="C75" s="10">
        <f>'[1]Opioid Mortality - WONDER'!H73/100000</f>
        <v>3.1919999999999999E-5</v>
      </c>
      <c r="D75" s="10">
        <f t="shared" si="8"/>
        <v>2.0285021663622855E-2</v>
      </c>
      <c r="E75" s="22">
        <f t="shared" si="9"/>
        <v>2.0285347631144091E-2</v>
      </c>
      <c r="F75" s="11">
        <f t="shared" si="15"/>
        <v>77111.179949743237</v>
      </c>
      <c r="G75" s="11">
        <f t="shared" si="10"/>
        <v>1564.2270915282497</v>
      </c>
      <c r="H75" s="11">
        <v>76264.859375</v>
      </c>
      <c r="I75" s="11">
        <v>75490.125</v>
      </c>
      <c r="J75" s="34">
        <f t="shared" si="11"/>
        <v>0.5</v>
      </c>
      <c r="K75" s="32">
        <f t="shared" si="12"/>
        <v>76329.066403979115</v>
      </c>
      <c r="L75" s="11">
        <v>1142749.5</v>
      </c>
      <c r="M75" s="11">
        <f>SUM(K75:K$89)</f>
        <v>1155620.9176372383</v>
      </c>
      <c r="N75" s="33">
        <v>14.98395824432373</v>
      </c>
      <c r="O75" s="37">
        <f t="shared" si="13"/>
        <v>14.986425034481478</v>
      </c>
      <c r="P75" s="52">
        <f t="shared" si="14"/>
        <v>0.9009951051172056</v>
      </c>
    </row>
    <row r="76" spans="1:16">
      <c r="A76" s="13" t="s">
        <v>76</v>
      </c>
      <c r="B76" s="10">
        <v>2.2101905196905136E-2</v>
      </c>
      <c r="C76" s="10">
        <f>'[1]Opioid Mortality - WONDER'!H74/100000</f>
        <v>3.2929999999999998E-5</v>
      </c>
      <c r="D76" s="10">
        <f t="shared" si="8"/>
        <v>2.2068975196905136E-2</v>
      </c>
      <c r="E76" s="22">
        <f t="shared" si="9"/>
        <v>2.2069341273644016E-2</v>
      </c>
      <c r="F76" s="11">
        <f t="shared" si="15"/>
        <v>75546.952858214994</v>
      </c>
      <c r="G76" s="11">
        <f t="shared" si="10"/>
        <v>1667.271484811843</v>
      </c>
      <c r="H76" s="11">
        <v>74715.390625</v>
      </c>
      <c r="I76" s="11">
        <v>73889.71875</v>
      </c>
      <c r="J76" s="34">
        <f t="shared" si="11"/>
        <v>0.49999763451339574</v>
      </c>
      <c r="K76" s="32">
        <f t="shared" si="12"/>
        <v>74713.321059717433</v>
      </c>
      <c r="L76" s="11">
        <v>1067259.375</v>
      </c>
      <c r="M76" s="11">
        <f>SUM(K76:K$89)</f>
        <v>1079291.8512332591</v>
      </c>
      <c r="N76" s="33">
        <v>14.284331321716309</v>
      </c>
      <c r="O76" s="37">
        <f t="shared" si="13"/>
        <v>14.286371725129039</v>
      </c>
      <c r="P76" s="52">
        <f t="shared" si="14"/>
        <v>0.74525734649960684</v>
      </c>
    </row>
    <row r="77" spans="1:16">
      <c r="A77" s="13" t="s">
        <v>77</v>
      </c>
      <c r="B77" s="10">
        <v>2.4193743243813515E-2</v>
      </c>
      <c r="C77" s="10">
        <f>'[1]Opioid Mortality - WONDER'!H75/100000</f>
        <v>1.9380000000000001E-5</v>
      </c>
      <c r="D77" s="10">
        <f t="shared" si="8"/>
        <v>2.4174363243813515E-2</v>
      </c>
      <c r="E77" s="22">
        <f t="shared" si="9"/>
        <v>2.4174599407248976E-2</v>
      </c>
      <c r="F77" s="11">
        <f t="shared" si="15"/>
        <v>73879.681373403146</v>
      </c>
      <c r="G77" s="11">
        <f t="shared" si="10"/>
        <v>1786.0117015372148</v>
      </c>
      <c r="H77" s="11">
        <v>73064.0390625</v>
      </c>
      <c r="I77" s="11">
        <v>72180.1875</v>
      </c>
      <c r="J77" s="34">
        <f t="shared" si="11"/>
        <v>0.50000220979824539</v>
      </c>
      <c r="K77" s="32">
        <f t="shared" si="12"/>
        <v>72986.671575909015</v>
      </c>
      <c r="L77" s="11">
        <v>993369.6875</v>
      </c>
      <c r="M77" s="11">
        <f>SUM(K77:K$89)</f>
        <v>1004578.5301735415</v>
      </c>
      <c r="N77" s="33">
        <v>13.595876693725586</v>
      </c>
      <c r="O77" s="37">
        <f t="shared" si="13"/>
        <v>13.597494080898839</v>
      </c>
      <c r="P77" s="52">
        <f t="shared" si="14"/>
        <v>0.59075066503065576</v>
      </c>
    </row>
    <row r="78" spans="1:16">
      <c r="A78" s="13" t="s">
        <v>78</v>
      </c>
      <c r="B78" s="10">
        <v>2.6342058554291725E-2</v>
      </c>
      <c r="C78" s="10">
        <f>'[1]Opioid Mortality - WONDER'!H76/100000</f>
        <v>1.8660000000000001E-5</v>
      </c>
      <c r="D78" s="10">
        <f t="shared" si="8"/>
        <v>2.6323398554291725E-2</v>
      </c>
      <c r="E78" s="22">
        <f t="shared" si="9"/>
        <v>2.6323646338532014E-2</v>
      </c>
      <c r="F78" s="11">
        <f t="shared" si="15"/>
        <v>72093.669671865937</v>
      </c>
      <c r="G78" s="11">
        <f t="shared" si="10"/>
        <v>1897.7682636891502</v>
      </c>
      <c r="H78" s="11">
        <v>71296.34375</v>
      </c>
      <c r="I78" s="11">
        <v>70357.296875</v>
      </c>
      <c r="J78" s="34">
        <f t="shared" si="11"/>
        <v>0.5</v>
      </c>
      <c r="K78" s="32">
        <f t="shared" si="12"/>
        <v>71144.785540021359</v>
      </c>
      <c r="L78" s="11">
        <v>921189.5</v>
      </c>
      <c r="M78" s="11">
        <f>SUM(K78:K$89)</f>
        <v>931591.8585976325</v>
      </c>
      <c r="N78" s="33">
        <v>12.920571327209473</v>
      </c>
      <c r="O78" s="37">
        <f t="shared" si="13"/>
        <v>12.9219647555433</v>
      </c>
      <c r="P78" s="52">
        <f t="shared" si="14"/>
        <v>0.50894969893041164</v>
      </c>
    </row>
    <row r="79" spans="1:16">
      <c r="A79" s="13" t="s">
        <v>79</v>
      </c>
      <c r="B79" s="10">
        <v>2.9041821137070656E-2</v>
      </c>
      <c r="C79" s="10">
        <f>'[1]Opioid Mortality - WONDER'!H77/100000</f>
        <v>1.863E-5</v>
      </c>
      <c r="D79" s="10">
        <f t="shared" si="8"/>
        <v>2.9023191137070657E-2</v>
      </c>
      <c r="E79" s="22">
        <f t="shared" si="9"/>
        <v>2.9023464145653266E-2</v>
      </c>
      <c r="F79" s="11">
        <f t="shared" si="15"/>
        <v>70195.901408176782</v>
      </c>
      <c r="G79" s="11">
        <f t="shared" si="10"/>
        <v>2037.3282276920304</v>
      </c>
      <c r="H79" s="11">
        <v>69418.25</v>
      </c>
      <c r="I79" s="11">
        <v>68410.234375</v>
      </c>
      <c r="J79" s="34">
        <f t="shared" si="11"/>
        <v>0.5</v>
      </c>
      <c r="K79" s="32">
        <f t="shared" si="12"/>
        <v>69177.237294330756</v>
      </c>
      <c r="L79" s="11">
        <v>850832.1875</v>
      </c>
      <c r="M79" s="11">
        <f>SUM(K79:K$89)</f>
        <v>860447.07305761124</v>
      </c>
      <c r="N79" s="33">
        <v>12.256607055664062</v>
      </c>
      <c r="O79" s="37">
        <f t="shared" si="13"/>
        <v>12.257796478091553</v>
      </c>
      <c r="P79" s="52">
        <f t="shared" si="14"/>
        <v>0.43443654164087864</v>
      </c>
    </row>
    <row r="80" spans="1:16">
      <c r="A80" s="13" t="s">
        <v>80</v>
      </c>
      <c r="B80" s="10">
        <v>3.2000839710235596E-2</v>
      </c>
      <c r="C80" s="10">
        <f>'[1]Opioid Mortality - WONDER'!H78/100000</f>
        <v>1.8409999999999998E-5</v>
      </c>
      <c r="D80" s="10">
        <f t="shared" si="8"/>
        <v>3.1982429710235592E-2</v>
      </c>
      <c r="E80" s="22">
        <f t="shared" si="9"/>
        <v>3.1982727301915093E-2</v>
      </c>
      <c r="F80" s="11">
        <f t="shared" si="15"/>
        <v>68158.573180484746</v>
      </c>
      <c r="G80" s="11">
        <f t="shared" si="10"/>
        <v>2179.8970593190675</v>
      </c>
      <c r="H80" s="11">
        <v>67402.21875</v>
      </c>
      <c r="I80" s="11">
        <v>66323.7578125</v>
      </c>
      <c r="J80" s="34">
        <f t="shared" si="11"/>
        <v>0.49999909448669166</v>
      </c>
      <c r="K80" s="32">
        <f t="shared" si="12"/>
        <v>67068.626624751021</v>
      </c>
      <c r="L80" s="11">
        <v>782421.9375</v>
      </c>
      <c r="M80" s="11">
        <f>SUM(K80:K$89)</f>
        <v>791269.83576328051</v>
      </c>
      <c r="N80" s="33">
        <v>11.608251571655273</v>
      </c>
      <c r="O80" s="37">
        <f t="shared" si="13"/>
        <v>11.609248827260339</v>
      </c>
      <c r="P80" s="52">
        <f t="shared" si="14"/>
        <v>0.364247609750326</v>
      </c>
    </row>
    <row r="81" spans="1:16">
      <c r="A81" s="13" t="s">
        <v>81</v>
      </c>
      <c r="B81" s="10">
        <v>3.5443209111690521E-2</v>
      </c>
      <c r="C81" s="10">
        <f>'[1]Opioid Mortality - WONDER'!H79/100000</f>
        <v>1.3879999999999999E-5</v>
      </c>
      <c r="D81" s="10">
        <f t="shared" si="8"/>
        <v>3.542932911169052E-2</v>
      </c>
      <c r="E81" s="22">
        <f t="shared" si="9"/>
        <v>3.5429577949924407E-2</v>
      </c>
      <c r="F81" s="11">
        <f t="shared" si="15"/>
        <v>65978.676121165685</v>
      </c>
      <c r="G81" s="11">
        <f t="shared" si="10"/>
        <v>2337.5966486676557</v>
      </c>
      <c r="H81" s="11">
        <v>65245.29296875</v>
      </c>
      <c r="I81" s="11">
        <v>64089.0390625</v>
      </c>
      <c r="J81" s="34">
        <f t="shared" si="11"/>
        <v>0.50000084459316796</v>
      </c>
      <c r="K81" s="32">
        <f t="shared" si="12"/>
        <v>64809.875822513699</v>
      </c>
      <c r="L81" s="11">
        <v>716098.1875</v>
      </c>
      <c r="M81" s="11">
        <f>SUM(K81:K$89)</f>
        <v>724201.20913852938</v>
      </c>
      <c r="N81" s="33">
        <v>10.975476264953613</v>
      </c>
      <c r="O81" s="37">
        <f t="shared" si="13"/>
        <v>10.976291912989879</v>
      </c>
      <c r="P81" s="52">
        <f t="shared" si="14"/>
        <v>0.29791544524607261</v>
      </c>
    </row>
    <row r="82" spans="1:16">
      <c r="A82" s="13" t="s">
        <v>82</v>
      </c>
      <c r="B82" s="10">
        <v>3.9257220923900604E-2</v>
      </c>
      <c r="C82" s="10">
        <f>'[1]Opioid Mortality - WONDER'!H80/100000</f>
        <v>1.5549999999999999E-5</v>
      </c>
      <c r="D82" s="10">
        <f t="shared" si="8"/>
        <v>3.9241670923900601E-2</v>
      </c>
      <c r="E82" s="22">
        <f t="shared" si="9"/>
        <v>3.924198010229607E-2</v>
      </c>
      <c r="F82" s="11">
        <f t="shared" si="15"/>
        <v>63641.07947249803</v>
      </c>
      <c r="G82" s="11">
        <f t="shared" si="10"/>
        <v>2497.4019743484105</v>
      </c>
      <c r="H82" s="11">
        <v>62932.7890625</v>
      </c>
      <c r="I82" s="11">
        <v>61697.5078125</v>
      </c>
      <c r="J82" s="34">
        <f t="shared" si="11"/>
        <v>0.49999920944241971</v>
      </c>
      <c r="K82" s="32">
        <f t="shared" si="12"/>
        <v>62392.38045966388</v>
      </c>
      <c r="L82" s="11">
        <v>652009.1875</v>
      </c>
      <c r="M82" s="11">
        <f>SUM(K82:K$89)</f>
        <v>659391.33331601578</v>
      </c>
      <c r="N82" s="33">
        <v>10.360404968261719</v>
      </c>
      <c r="O82" s="37">
        <f t="shared" si="13"/>
        <v>10.361095989909574</v>
      </c>
      <c r="P82" s="52">
        <f t="shared" si="14"/>
        <v>0.25239565687898002</v>
      </c>
    </row>
    <row r="83" spans="1:16">
      <c r="A83" s="13" t="s">
        <v>83</v>
      </c>
      <c r="B83" s="10">
        <v>4.3392524123191833E-2</v>
      </c>
      <c r="C83" s="10">
        <f>'[1]Opioid Mortality - WONDER'!H81/100000</f>
        <v>1.5800000000000001E-5</v>
      </c>
      <c r="D83" s="10">
        <f t="shared" si="8"/>
        <v>4.337672412319183E-2</v>
      </c>
      <c r="E83" s="22">
        <f t="shared" si="9"/>
        <v>4.3377071868126671E-2</v>
      </c>
      <c r="F83" s="11">
        <f t="shared" si="15"/>
        <v>61143.67749814962</v>
      </c>
      <c r="G83" s="11">
        <f t="shared" si="10"/>
        <v>2652.2336931187956</v>
      </c>
      <c r="H83" s="11">
        <v>60462.22265625</v>
      </c>
      <c r="I83" s="11">
        <v>59150.41796875</v>
      </c>
      <c r="J83" s="34">
        <f t="shared" si="11"/>
        <v>0.5</v>
      </c>
      <c r="K83" s="32">
        <f t="shared" si="12"/>
        <v>59817.560651590218</v>
      </c>
      <c r="L83" s="11">
        <v>590311.6875</v>
      </c>
      <c r="M83" s="11">
        <f>SUM(K83:K$89)</f>
        <v>596998.95285635185</v>
      </c>
      <c r="N83" s="33">
        <v>9.7633142471313477</v>
      </c>
      <c r="O83" s="37">
        <f t="shared" si="13"/>
        <v>9.7638705633042555</v>
      </c>
      <c r="P83" s="52">
        <f t="shared" si="14"/>
        <v>0.20319448215459435</v>
      </c>
    </row>
    <row r="84" spans="1:16">
      <c r="A84" s="13" t="s">
        <v>84</v>
      </c>
      <c r="B84" s="10">
        <v>4.8162896186113358E-2</v>
      </c>
      <c r="C84" s="10">
        <f>'[1]Opioid Mortality - WONDER'!H82/100000</f>
        <v>7.2542934535805013E-6</v>
      </c>
      <c r="D84" s="10">
        <f t="shared" si="8"/>
        <v>4.8155641892659778E-2</v>
      </c>
      <c r="E84" s="22">
        <f t="shared" si="9"/>
        <v>4.8155819434386959E-2</v>
      </c>
      <c r="F84" s="11">
        <f t="shared" si="15"/>
        <v>58491.443805030824</v>
      </c>
      <c r="G84" s="11">
        <f t="shared" si="10"/>
        <v>2816.703406331656</v>
      </c>
      <c r="H84" s="11">
        <v>57838.61328125</v>
      </c>
      <c r="I84" s="11">
        <v>56445.7734375</v>
      </c>
      <c r="J84" s="34">
        <f t="shared" si="11"/>
        <v>0.50000070113148598</v>
      </c>
      <c r="K84" s="32">
        <f t="shared" si="12"/>
        <v>57083.090126985553</v>
      </c>
      <c r="L84" s="11">
        <v>531161.25</v>
      </c>
      <c r="M84" s="11">
        <f>SUM(K84:K$89)</f>
        <v>537181.39220476162</v>
      </c>
      <c r="N84" s="33">
        <v>9.1835060119628906</v>
      </c>
      <c r="O84" s="37">
        <f t="shared" si="13"/>
        <v>9.1839311403449901</v>
      </c>
      <c r="P84" s="52">
        <f t="shared" si="14"/>
        <v>0.15527814156184805</v>
      </c>
    </row>
    <row r="85" spans="1:16">
      <c r="A85" s="13" t="s">
        <v>85</v>
      </c>
      <c r="B85" s="10">
        <v>5.3216438740491867E-2</v>
      </c>
      <c r="C85" s="10">
        <f>'[1]Opioid Mortality - WONDER'!H83/100000</f>
        <v>1.7E-5</v>
      </c>
      <c r="D85" s="10">
        <f t="shared" si="8"/>
        <v>5.3199438740491864E-2</v>
      </c>
      <c r="E85" s="22">
        <f t="shared" si="9"/>
        <v>5.3199899180298327E-2</v>
      </c>
      <c r="F85" s="11">
        <f t="shared" si="15"/>
        <v>55674.74039869917</v>
      </c>
      <c r="G85" s="11">
        <f t="shared" si="10"/>
        <v>2961.8905761000783</v>
      </c>
      <c r="H85" s="11">
        <v>55052.9375</v>
      </c>
      <c r="I85" s="11">
        <v>53588.078125</v>
      </c>
      <c r="J85" s="34">
        <f t="shared" si="11"/>
        <v>0.49999933334133323</v>
      </c>
      <c r="K85" s="32">
        <f t="shared" si="12"/>
        <v>54193.79708521915</v>
      </c>
      <c r="L85" s="11">
        <v>474715.46875</v>
      </c>
      <c r="M85" s="11">
        <f>SUM(K85:K$89)</f>
        <v>480098.30207777605</v>
      </c>
      <c r="N85" s="33">
        <v>8.6228904724121094</v>
      </c>
      <c r="O85" s="37">
        <f t="shared" si="13"/>
        <v>8.623269702556053</v>
      </c>
      <c r="P85" s="52">
        <f t="shared" si="14"/>
        <v>0.13851381007539532</v>
      </c>
    </row>
    <row r="86" spans="1:16">
      <c r="A86" s="13" t="s">
        <v>86</v>
      </c>
      <c r="B86" s="10">
        <v>5.923973023891449E-2</v>
      </c>
      <c r="C86" s="10">
        <f>'[1]Opioid Mortality - WONDER'!H84/100000</f>
        <v>1.1507101525512888E-5</v>
      </c>
      <c r="D86" s="10">
        <f t="shared" si="8"/>
        <v>5.9228223137388979E-2</v>
      </c>
      <c r="E86" s="22">
        <f t="shared" si="9"/>
        <v>5.9228570847128625E-2</v>
      </c>
      <c r="F86" s="11">
        <f t="shared" si="15"/>
        <v>52712.849822599092</v>
      </c>
      <c r="G86" s="11">
        <f t="shared" si="10"/>
        <v>3122.1067602718617</v>
      </c>
      <c r="H86" s="11">
        <v>52123.21484375</v>
      </c>
      <c r="I86" s="11">
        <v>50579.33203125</v>
      </c>
      <c r="J86" s="34">
        <f t="shared" si="11"/>
        <v>0.5</v>
      </c>
      <c r="K86" s="32">
        <f t="shared" si="12"/>
        <v>51151.796442463165</v>
      </c>
      <c r="L86" s="11">
        <v>421127.40625</v>
      </c>
      <c r="M86" s="11">
        <f>SUM(K86:K$89)</f>
        <v>425904.50499255687</v>
      </c>
      <c r="N86" s="33">
        <v>8.0794591903686523</v>
      </c>
      <c r="O86" s="37">
        <f t="shared" si="13"/>
        <v>8.0797093389165013</v>
      </c>
      <c r="P86" s="52">
        <f t="shared" si="14"/>
        <v>9.1366757101845053E-2</v>
      </c>
    </row>
    <row r="87" spans="1:16">
      <c r="A87" s="13" t="s">
        <v>87</v>
      </c>
      <c r="B87" s="10">
        <v>6.6563829779624939E-2</v>
      </c>
      <c r="C87" s="10">
        <f>'[1]Opioid Mortality - WONDER'!H85/100000</f>
        <v>5.6173989570362608E-6</v>
      </c>
      <c r="D87" s="10">
        <f t="shared" si="8"/>
        <v>6.6558212380667905E-2</v>
      </c>
      <c r="E87" s="22">
        <f t="shared" si="9"/>
        <v>6.6558403614730643E-2</v>
      </c>
      <c r="F87" s="11">
        <f t="shared" si="15"/>
        <v>49590.74306232723</v>
      </c>
      <c r="G87" s="11">
        <f t="shared" si="10"/>
        <v>3300.6806922967794</v>
      </c>
      <c r="H87" s="11">
        <v>49035.44921875</v>
      </c>
      <c r="I87" s="11">
        <v>47403.453125</v>
      </c>
      <c r="J87" s="34">
        <f t="shared" si="11"/>
        <v>0.50000059838603317</v>
      </c>
      <c r="K87" s="32">
        <f t="shared" si="12"/>
        <v>47940.400741097619</v>
      </c>
      <c r="L87" s="11">
        <v>370548.0625</v>
      </c>
      <c r="M87" s="11">
        <f>SUM(K87:K$89)</f>
        <v>374752.70855009375</v>
      </c>
      <c r="N87" s="33">
        <v>7.5567383766174316</v>
      </c>
      <c r="O87" s="37">
        <f t="shared" si="13"/>
        <v>7.556908515750461</v>
      </c>
      <c r="P87" s="52">
        <f t="shared" si="14"/>
        <v>6.2143318338960363E-2</v>
      </c>
    </row>
    <row r="88" spans="1:16">
      <c r="A88" s="13" t="s">
        <v>88</v>
      </c>
      <c r="B88" s="10">
        <v>7.4045203626155853E-2</v>
      </c>
      <c r="C88" s="10">
        <f>'[1]Opioid Mortality - WONDER'!H86/100000</f>
        <v>9.9185193634294271E-6</v>
      </c>
      <c r="D88" s="10">
        <f t="shared" si="8"/>
        <v>7.4035285106792428E-2</v>
      </c>
      <c r="E88" s="22">
        <f t="shared" si="9"/>
        <v>7.403566168161968E-2</v>
      </c>
      <c r="F88" s="11">
        <f t="shared" si="15"/>
        <v>46290.06237003045</v>
      </c>
      <c r="G88" s="11">
        <f t="shared" si="10"/>
        <v>3427.1153968486483</v>
      </c>
      <c r="H88" s="11">
        <v>45771.4609375</v>
      </c>
      <c r="I88" s="11">
        <v>44076.8828125</v>
      </c>
      <c r="J88" s="34">
        <f t="shared" si="11"/>
        <v>0.5</v>
      </c>
      <c r="K88" s="32">
        <f t="shared" si="12"/>
        <v>44576.504671606126</v>
      </c>
      <c r="L88" s="11">
        <v>323144.59375</v>
      </c>
      <c r="M88" s="11">
        <f>SUM(K88:K$89)</f>
        <v>326812.30780899612</v>
      </c>
      <c r="N88" s="33">
        <v>7.0599579811096191</v>
      </c>
      <c r="O88" s="37">
        <f t="shared" si="13"/>
        <v>7.0600965104895614</v>
      </c>
      <c r="P88" s="52">
        <f t="shared" si="14"/>
        <v>5.0597856023924415E-2</v>
      </c>
    </row>
    <row r="89" spans="1:16">
      <c r="A89" s="31" t="s">
        <v>287</v>
      </c>
      <c r="B89" s="16">
        <v>1</v>
      </c>
      <c r="C89" s="16">
        <f>'[1]Opioid Mortality - WONDER'!H87/100000</f>
        <v>1.159432477898898E-5</v>
      </c>
      <c r="D89" s="16">
        <f t="shared" si="8"/>
        <v>0.99998840567522096</v>
      </c>
      <c r="E89" s="23">
        <f t="shared" si="9"/>
        <v>1</v>
      </c>
      <c r="F89" s="17">
        <f>F88*(1-E88)</f>
        <v>42862.946973181803</v>
      </c>
      <c r="G89" s="17">
        <f>F89*E89</f>
        <v>42862.946973181803</v>
      </c>
      <c r="H89" s="17">
        <v>42382.3046875</v>
      </c>
      <c r="I89" s="17">
        <f>SUM('[1]2017 Life Table'!E89:E104)</f>
        <v>279067.72534179688</v>
      </c>
      <c r="J89" s="35" t="s">
        <v>298</v>
      </c>
      <c r="K89" s="32">
        <f>(N89*F89)/(1-C89)</f>
        <v>282235.80313739</v>
      </c>
      <c r="L89" s="17">
        <f>I89</f>
        <v>279067.72534179688</v>
      </c>
      <c r="M89" s="17">
        <f>SUM(K89:K$89)</f>
        <v>282235.80313739</v>
      </c>
      <c r="N89" s="43">
        <f>L89/H89</f>
        <v>6.5845339794393851</v>
      </c>
      <c r="O89" s="38">
        <f>M89/F89</f>
        <v>6.5846103235500202</v>
      </c>
      <c r="P89" s="52">
        <f t="shared" si="14"/>
        <v>2.7884686409456627E-2</v>
      </c>
    </row>
  </sheetData>
  <mergeCells count="2">
    <mergeCell ref="A1:N1"/>
    <mergeCell ref="A2:A3"/>
  </mergeCells>
  <conditionalFormatting sqref="R4">
    <cfRule type="cellIs" dxfId="2" priority="2" operator="equal">
      <formula>$P$4</formula>
    </cfRule>
    <cfRule type="cellIs" dxfId="1" priority="3" operator="equal">
      <formula>$P$4</formula>
    </cfRule>
    <cfRule type="cellIs" dxfId="0" priority="4" operator="equal">
      <formula>$P$4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M3:N4"/>
  <sheetViews>
    <sheetView showGridLines="0" workbookViewId="0">
      <selection activeCell="N4" sqref="N4"/>
    </sheetView>
  </sheetViews>
  <sheetFormatPr baseColWidth="10" defaultColWidth="11.5" defaultRowHeight="15"/>
  <cols>
    <col min="13" max="13" width="17.83203125" customWidth="1"/>
  </cols>
  <sheetData>
    <row r="3" spans="13:14">
      <c r="M3" s="53" t="s">
        <v>308</v>
      </c>
      <c r="N3" s="54">
        <f>MAX('[1]Modified Life Table w grouping'!$P$9:$P$89)</f>
        <v>153.92157290559535</v>
      </c>
    </row>
    <row r="4" spans="13:14">
      <c r="M4" s="55" t="s">
        <v>309</v>
      </c>
      <c r="N4" s="56" t="str">
        <f>INDEX('Modified Life Table Trunc. 85+'!A1:P89,MATCH(N3,'Modified Life Table Trunc. 85+'!P1:P89,0),1)</f>
        <v>12–13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2017 Life Table</vt:lpstr>
      <vt:lpstr>Opioid Mortality - WONDER</vt:lpstr>
      <vt:lpstr>Modified Life Table</vt:lpstr>
      <vt:lpstr>Modified Life Table Trunc. 85+</vt:lpstr>
      <vt:lpstr>Cohort Method (Elliot's paper) </vt:lpstr>
      <vt:lpstr>Change in Expectancy by Age</vt:lpstr>
      <vt:lpstr>'Opioid Mortality - WONDER'!Opioid_Related_Mortality_by_Age_Year_2017_final</vt:lpstr>
      <vt:lpstr>'2017 Life Table'!Print_Titles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2006-10-24T03:27:27Z</dcterms:created>
  <dcterms:modified xsi:type="dcterms:W3CDTF">2020-04-28T03:29:06Z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{7A009654-A159-48E2-A2AA-1348691A8398}</vt:lpwstr>
  </property>
</Properties>
</file>