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413"/>
  <workbookPr filterPrivacy="1" defaultThemeVersion="123820"/>
  <xr:revisionPtr revIDLastSave="0" documentId="13_ncr:1_{018467E4-C359-3342-9CD2-8146F67AE4FE}" xr6:coauthVersionLast="45" xr6:coauthVersionMax="45" xr10:uidLastSave="{00000000-0000-0000-0000-000000000000}"/>
  <bookViews>
    <workbookView xWindow="0" yWindow="460" windowWidth="28800" windowHeight="16080" activeTab="2" xr2:uid="{00000000-000D-0000-FFFF-FFFF00000000}"/>
  </bookViews>
  <sheets>
    <sheet name="2017 Life Table - Males" sheetId="1" state="hidden" r:id="rId1"/>
    <sheet name="Opioid Mortality - WONDER" sheetId="3" state="hidden" r:id="rId2"/>
    <sheet name="Modified Life Table trunc. 85+" sheetId="4" r:id="rId3"/>
    <sheet name="Cohort Method" sheetId="5" state="hidden" r:id="rId4"/>
    <sheet name="Change in Life Expectancy" sheetId="6" r:id="rId5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Multiple_Cause_of_Death__1999_2018" localSheetId="1">'Opioid Mortality - WONDER'!$A$1:$F$158</definedName>
    <definedName name="_xlnm.Print_Titles" localSheetId="0">'2017 Life Table - Males'!$1:$3</definedName>
  </definedNames>
  <calcPr calcId="191029" concurrentCalc="0" concurrentManualCount="4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4" i="5" l="1"/>
  <c r="L4" i="4"/>
  <c r="N4" i="4"/>
  <c r="P4" i="4"/>
  <c r="Q4" i="4"/>
  <c r="L89" i="4"/>
  <c r="L5" i="4"/>
  <c r="G6" i="4"/>
  <c r="H104" i="3"/>
  <c r="M104" i="3"/>
  <c r="H87" i="3"/>
  <c r="H2" i="3"/>
  <c r="C4" i="4"/>
  <c r="D4" i="4"/>
  <c r="E4" i="4"/>
  <c r="F5" i="4"/>
  <c r="H3" i="3"/>
  <c r="C5" i="4"/>
  <c r="D5" i="4"/>
  <c r="E5" i="4"/>
  <c r="G5" i="4"/>
  <c r="F6" i="4"/>
  <c r="H4" i="3"/>
  <c r="C6" i="4"/>
  <c r="D6" i="4"/>
  <c r="E6" i="4"/>
  <c r="L6" i="4"/>
  <c r="F7" i="4"/>
  <c r="H5" i="3"/>
  <c r="C7" i="4"/>
  <c r="D7" i="4"/>
  <c r="E7" i="4"/>
  <c r="G7" i="4"/>
  <c r="L7" i="4"/>
  <c r="F8" i="4"/>
  <c r="H6" i="3"/>
  <c r="C8" i="4"/>
  <c r="D8" i="4"/>
  <c r="E8" i="4"/>
  <c r="G8" i="4"/>
  <c r="L8" i="4"/>
  <c r="F9" i="4"/>
  <c r="H7" i="3"/>
  <c r="C9" i="4"/>
  <c r="D9" i="4"/>
  <c r="E9" i="4"/>
  <c r="G9" i="4"/>
  <c r="L9" i="4"/>
  <c r="F10" i="4"/>
  <c r="H8" i="3"/>
  <c r="C10" i="4"/>
  <c r="D10" i="4"/>
  <c r="E10" i="4"/>
  <c r="G10" i="4"/>
  <c r="L10" i="4"/>
  <c r="F11" i="4"/>
  <c r="H9" i="3"/>
  <c r="C11" i="4"/>
  <c r="D11" i="4"/>
  <c r="E11" i="4"/>
  <c r="G11" i="4"/>
  <c r="L11" i="4"/>
  <c r="F12" i="4"/>
  <c r="H10" i="3"/>
  <c r="C12" i="4"/>
  <c r="D12" i="4"/>
  <c r="E12" i="4"/>
  <c r="G12" i="4"/>
  <c r="L12" i="4"/>
  <c r="F13" i="4"/>
  <c r="H11" i="3"/>
  <c r="C13" i="4"/>
  <c r="D13" i="4"/>
  <c r="E13" i="4"/>
  <c r="G13" i="4"/>
  <c r="L13" i="4"/>
  <c r="F14" i="4"/>
  <c r="H12" i="3"/>
  <c r="C14" i="4"/>
  <c r="D14" i="4"/>
  <c r="E14" i="4"/>
  <c r="G14" i="4"/>
  <c r="L14" i="4"/>
  <c r="F15" i="4"/>
  <c r="H13" i="3"/>
  <c r="C15" i="4"/>
  <c r="D15" i="4"/>
  <c r="E15" i="4"/>
  <c r="G15" i="4"/>
  <c r="L15" i="4"/>
  <c r="F16" i="4"/>
  <c r="H14" i="3"/>
  <c r="C16" i="4"/>
  <c r="D16" i="4"/>
  <c r="E16" i="4"/>
  <c r="G16" i="4"/>
  <c r="L16" i="4"/>
  <c r="F17" i="4"/>
  <c r="H15" i="3"/>
  <c r="C17" i="4"/>
  <c r="D17" i="4"/>
  <c r="E17" i="4"/>
  <c r="G17" i="4"/>
  <c r="L17" i="4"/>
  <c r="F18" i="4"/>
  <c r="H16" i="3"/>
  <c r="C18" i="4"/>
  <c r="D18" i="4"/>
  <c r="E18" i="4"/>
  <c r="G18" i="4"/>
  <c r="L18" i="4"/>
  <c r="F19" i="4"/>
  <c r="H17" i="3"/>
  <c r="C19" i="4"/>
  <c r="D19" i="4"/>
  <c r="E19" i="4"/>
  <c r="G19" i="4"/>
  <c r="L19" i="4"/>
  <c r="F20" i="4"/>
  <c r="H18" i="3"/>
  <c r="C20" i="4"/>
  <c r="D20" i="4"/>
  <c r="E20" i="4"/>
  <c r="G20" i="4"/>
  <c r="L20" i="4"/>
  <c r="F21" i="4"/>
  <c r="H19" i="3"/>
  <c r="C21" i="4"/>
  <c r="D21" i="4"/>
  <c r="E21" i="4"/>
  <c r="G21" i="4"/>
  <c r="L21" i="4"/>
  <c r="F22" i="4"/>
  <c r="H20" i="3"/>
  <c r="C22" i="4"/>
  <c r="D22" i="4"/>
  <c r="E22" i="4"/>
  <c r="G22" i="4"/>
  <c r="L22" i="4"/>
  <c r="F23" i="4"/>
  <c r="H21" i="3"/>
  <c r="C23" i="4"/>
  <c r="D23" i="4"/>
  <c r="E23" i="4"/>
  <c r="G23" i="4"/>
  <c r="L23" i="4"/>
  <c r="F24" i="4"/>
  <c r="H22" i="3"/>
  <c r="C24" i="4"/>
  <c r="D24" i="4"/>
  <c r="E24" i="4"/>
  <c r="G24" i="4"/>
  <c r="L24" i="4"/>
  <c r="F25" i="4"/>
  <c r="H23" i="3"/>
  <c r="C25" i="4"/>
  <c r="D25" i="4"/>
  <c r="E25" i="4"/>
  <c r="G25" i="4"/>
  <c r="L25" i="4"/>
  <c r="F26" i="4"/>
  <c r="H24" i="3"/>
  <c r="C26" i="4"/>
  <c r="D26" i="4"/>
  <c r="E26" i="4"/>
  <c r="G26" i="4"/>
  <c r="L26" i="4"/>
  <c r="F27" i="4"/>
  <c r="H25" i="3"/>
  <c r="C27" i="4"/>
  <c r="D27" i="4"/>
  <c r="E27" i="4"/>
  <c r="G27" i="4"/>
  <c r="L27" i="4"/>
  <c r="F28" i="4"/>
  <c r="H26" i="3"/>
  <c r="C28" i="4"/>
  <c r="D28" i="4"/>
  <c r="E28" i="4"/>
  <c r="G28" i="4"/>
  <c r="L28" i="4"/>
  <c r="F29" i="4"/>
  <c r="H27" i="3"/>
  <c r="C29" i="4"/>
  <c r="D29" i="4"/>
  <c r="E29" i="4"/>
  <c r="G29" i="4"/>
  <c r="L29" i="4"/>
  <c r="F30" i="4"/>
  <c r="H28" i="3"/>
  <c r="C30" i="4"/>
  <c r="D30" i="4"/>
  <c r="E30" i="4"/>
  <c r="G30" i="4"/>
  <c r="L30" i="4"/>
  <c r="F31" i="4"/>
  <c r="H29" i="3"/>
  <c r="C31" i="4"/>
  <c r="D31" i="4"/>
  <c r="E31" i="4"/>
  <c r="G31" i="4"/>
  <c r="L31" i="4"/>
  <c r="F32" i="4"/>
  <c r="H30" i="3"/>
  <c r="C32" i="4"/>
  <c r="D32" i="4"/>
  <c r="E32" i="4"/>
  <c r="G32" i="4"/>
  <c r="L32" i="4"/>
  <c r="F33" i="4"/>
  <c r="H31" i="3"/>
  <c r="C33" i="4"/>
  <c r="D33" i="4"/>
  <c r="E33" i="4"/>
  <c r="G33" i="4"/>
  <c r="L33" i="4"/>
  <c r="F34" i="4"/>
  <c r="H32" i="3"/>
  <c r="C34" i="4"/>
  <c r="D34" i="4"/>
  <c r="E34" i="4"/>
  <c r="G34" i="4"/>
  <c r="L34" i="4"/>
  <c r="F35" i="4"/>
  <c r="H33" i="3"/>
  <c r="C35" i="4"/>
  <c r="D35" i="4"/>
  <c r="E35" i="4"/>
  <c r="G35" i="4"/>
  <c r="L35" i="4"/>
  <c r="F36" i="4"/>
  <c r="H34" i="3"/>
  <c r="C36" i="4"/>
  <c r="D36" i="4"/>
  <c r="E36" i="4"/>
  <c r="G36" i="4"/>
  <c r="L36" i="4"/>
  <c r="F37" i="4"/>
  <c r="H35" i="3"/>
  <c r="C37" i="4"/>
  <c r="D37" i="4"/>
  <c r="E37" i="4"/>
  <c r="G37" i="4"/>
  <c r="L37" i="4"/>
  <c r="F38" i="4"/>
  <c r="H36" i="3"/>
  <c r="C38" i="4"/>
  <c r="D38" i="4"/>
  <c r="E38" i="4"/>
  <c r="G38" i="4"/>
  <c r="L38" i="4"/>
  <c r="F39" i="4"/>
  <c r="H37" i="3"/>
  <c r="C39" i="4"/>
  <c r="D39" i="4"/>
  <c r="E39" i="4"/>
  <c r="G39" i="4"/>
  <c r="L39" i="4"/>
  <c r="F40" i="4"/>
  <c r="H38" i="3"/>
  <c r="C40" i="4"/>
  <c r="D40" i="4"/>
  <c r="E40" i="4"/>
  <c r="G40" i="4"/>
  <c r="L40" i="4"/>
  <c r="F41" i="4"/>
  <c r="H39" i="3"/>
  <c r="C41" i="4"/>
  <c r="D41" i="4"/>
  <c r="E41" i="4"/>
  <c r="G41" i="4"/>
  <c r="L41" i="4"/>
  <c r="F42" i="4"/>
  <c r="H40" i="3"/>
  <c r="C42" i="4"/>
  <c r="D42" i="4"/>
  <c r="E42" i="4"/>
  <c r="G42" i="4"/>
  <c r="L42" i="4"/>
  <c r="F43" i="4"/>
  <c r="H41" i="3"/>
  <c r="C43" i="4"/>
  <c r="D43" i="4"/>
  <c r="E43" i="4"/>
  <c r="G43" i="4"/>
  <c r="L43" i="4"/>
  <c r="F44" i="4"/>
  <c r="H42" i="3"/>
  <c r="C44" i="4"/>
  <c r="D44" i="4"/>
  <c r="E44" i="4"/>
  <c r="G44" i="4"/>
  <c r="L44" i="4"/>
  <c r="F45" i="4"/>
  <c r="H43" i="3"/>
  <c r="C45" i="4"/>
  <c r="D45" i="4"/>
  <c r="E45" i="4"/>
  <c r="G45" i="4"/>
  <c r="L45" i="4"/>
  <c r="F46" i="4"/>
  <c r="H44" i="3"/>
  <c r="C46" i="4"/>
  <c r="D46" i="4"/>
  <c r="E46" i="4"/>
  <c r="G46" i="4"/>
  <c r="L46" i="4"/>
  <c r="F47" i="4"/>
  <c r="H45" i="3"/>
  <c r="C47" i="4"/>
  <c r="D47" i="4"/>
  <c r="E47" i="4"/>
  <c r="G47" i="4"/>
  <c r="L47" i="4"/>
  <c r="F48" i="4"/>
  <c r="H46" i="3"/>
  <c r="C48" i="4"/>
  <c r="D48" i="4"/>
  <c r="E48" i="4"/>
  <c r="G48" i="4"/>
  <c r="L48" i="4"/>
  <c r="F49" i="4"/>
  <c r="H47" i="3"/>
  <c r="C49" i="4"/>
  <c r="D49" i="4"/>
  <c r="E49" i="4"/>
  <c r="G49" i="4"/>
  <c r="L49" i="4"/>
  <c r="F50" i="4"/>
  <c r="H48" i="3"/>
  <c r="C50" i="4"/>
  <c r="D50" i="4"/>
  <c r="E50" i="4"/>
  <c r="G50" i="4"/>
  <c r="L50" i="4"/>
  <c r="F51" i="4"/>
  <c r="H49" i="3"/>
  <c r="C51" i="4"/>
  <c r="D51" i="4"/>
  <c r="E51" i="4"/>
  <c r="G51" i="4"/>
  <c r="L51" i="4"/>
  <c r="F52" i="4"/>
  <c r="H50" i="3"/>
  <c r="C52" i="4"/>
  <c r="D52" i="4"/>
  <c r="E52" i="4"/>
  <c r="G52" i="4"/>
  <c r="L52" i="4"/>
  <c r="F53" i="4"/>
  <c r="H51" i="3"/>
  <c r="C53" i="4"/>
  <c r="D53" i="4"/>
  <c r="E53" i="4"/>
  <c r="G53" i="4"/>
  <c r="L53" i="4"/>
  <c r="F54" i="4"/>
  <c r="H52" i="3"/>
  <c r="C54" i="4"/>
  <c r="D54" i="4"/>
  <c r="E54" i="4"/>
  <c r="G54" i="4"/>
  <c r="L54" i="4"/>
  <c r="F55" i="4"/>
  <c r="H53" i="3"/>
  <c r="C55" i="4"/>
  <c r="D55" i="4"/>
  <c r="E55" i="4"/>
  <c r="G55" i="4"/>
  <c r="L55" i="4"/>
  <c r="F56" i="4"/>
  <c r="H54" i="3"/>
  <c r="C56" i="4"/>
  <c r="D56" i="4"/>
  <c r="E56" i="4"/>
  <c r="G56" i="4"/>
  <c r="L56" i="4"/>
  <c r="F57" i="4"/>
  <c r="H55" i="3"/>
  <c r="C57" i="4"/>
  <c r="D57" i="4"/>
  <c r="E57" i="4"/>
  <c r="G57" i="4"/>
  <c r="L57" i="4"/>
  <c r="F58" i="4"/>
  <c r="H56" i="3"/>
  <c r="C58" i="4"/>
  <c r="D58" i="4"/>
  <c r="E58" i="4"/>
  <c r="G58" i="4"/>
  <c r="L58" i="4"/>
  <c r="F59" i="4"/>
  <c r="H57" i="3"/>
  <c r="C59" i="4"/>
  <c r="D59" i="4"/>
  <c r="E59" i="4"/>
  <c r="G59" i="4"/>
  <c r="L59" i="4"/>
  <c r="F60" i="4"/>
  <c r="H58" i="3"/>
  <c r="C60" i="4"/>
  <c r="D60" i="4"/>
  <c r="E60" i="4"/>
  <c r="G60" i="4"/>
  <c r="L60" i="4"/>
  <c r="F61" i="4"/>
  <c r="H59" i="3"/>
  <c r="C61" i="4"/>
  <c r="D61" i="4"/>
  <c r="E61" i="4"/>
  <c r="G61" i="4"/>
  <c r="L61" i="4"/>
  <c r="F62" i="4"/>
  <c r="H60" i="3"/>
  <c r="C62" i="4"/>
  <c r="D62" i="4"/>
  <c r="E62" i="4"/>
  <c r="G62" i="4"/>
  <c r="L62" i="4"/>
  <c r="F63" i="4"/>
  <c r="H61" i="3"/>
  <c r="C63" i="4"/>
  <c r="D63" i="4"/>
  <c r="E63" i="4"/>
  <c r="G63" i="4"/>
  <c r="L63" i="4"/>
  <c r="F64" i="4"/>
  <c r="H62" i="3"/>
  <c r="C64" i="4"/>
  <c r="D64" i="4"/>
  <c r="E64" i="4"/>
  <c r="G64" i="4"/>
  <c r="L64" i="4"/>
  <c r="F65" i="4"/>
  <c r="H63" i="3"/>
  <c r="C65" i="4"/>
  <c r="D65" i="4"/>
  <c r="E65" i="4"/>
  <c r="G65" i="4"/>
  <c r="L65" i="4"/>
  <c r="F66" i="4"/>
  <c r="H64" i="3"/>
  <c r="C66" i="4"/>
  <c r="D66" i="4"/>
  <c r="E66" i="4"/>
  <c r="G66" i="4"/>
  <c r="L66" i="4"/>
  <c r="F67" i="4"/>
  <c r="H65" i="3"/>
  <c r="C67" i="4"/>
  <c r="D67" i="4"/>
  <c r="E67" i="4"/>
  <c r="G67" i="4"/>
  <c r="L67" i="4"/>
  <c r="F68" i="4"/>
  <c r="H66" i="3"/>
  <c r="C68" i="4"/>
  <c r="D68" i="4"/>
  <c r="E68" i="4"/>
  <c r="G68" i="4"/>
  <c r="L68" i="4"/>
  <c r="F69" i="4"/>
  <c r="H67" i="3"/>
  <c r="C69" i="4"/>
  <c r="D69" i="4"/>
  <c r="E69" i="4"/>
  <c r="G69" i="4"/>
  <c r="L69" i="4"/>
  <c r="F70" i="4"/>
  <c r="H68" i="3"/>
  <c r="C70" i="4"/>
  <c r="D70" i="4"/>
  <c r="E70" i="4"/>
  <c r="G70" i="4"/>
  <c r="L70" i="4"/>
  <c r="F71" i="4"/>
  <c r="H69" i="3"/>
  <c r="C71" i="4"/>
  <c r="D71" i="4"/>
  <c r="E71" i="4"/>
  <c r="G71" i="4"/>
  <c r="L71" i="4"/>
  <c r="F72" i="4"/>
  <c r="H70" i="3"/>
  <c r="C72" i="4"/>
  <c r="D72" i="4"/>
  <c r="E72" i="4"/>
  <c r="G72" i="4"/>
  <c r="L72" i="4"/>
  <c r="F73" i="4"/>
  <c r="H71" i="3"/>
  <c r="C73" i="4"/>
  <c r="D73" i="4"/>
  <c r="E73" i="4"/>
  <c r="G73" i="4"/>
  <c r="L73" i="4"/>
  <c r="F74" i="4"/>
  <c r="H72" i="3"/>
  <c r="C74" i="4"/>
  <c r="D74" i="4"/>
  <c r="E74" i="4"/>
  <c r="G74" i="4"/>
  <c r="L74" i="4"/>
  <c r="F75" i="4"/>
  <c r="H73" i="3"/>
  <c r="C75" i="4"/>
  <c r="D75" i="4"/>
  <c r="E75" i="4"/>
  <c r="G75" i="4"/>
  <c r="L75" i="4"/>
  <c r="F76" i="4"/>
  <c r="H74" i="3"/>
  <c r="C76" i="4"/>
  <c r="D76" i="4"/>
  <c r="E76" i="4"/>
  <c r="G76" i="4"/>
  <c r="L76" i="4"/>
  <c r="F77" i="4"/>
  <c r="H75" i="3"/>
  <c r="C77" i="4"/>
  <c r="D77" i="4"/>
  <c r="E77" i="4"/>
  <c r="G77" i="4"/>
  <c r="L77" i="4"/>
  <c r="F78" i="4"/>
  <c r="H76" i="3"/>
  <c r="C78" i="4"/>
  <c r="D78" i="4"/>
  <c r="E78" i="4"/>
  <c r="G78" i="4"/>
  <c r="L78" i="4"/>
  <c r="F79" i="4"/>
  <c r="H77" i="3"/>
  <c r="C79" i="4"/>
  <c r="D79" i="4"/>
  <c r="E79" i="4"/>
  <c r="G79" i="4"/>
  <c r="L79" i="4"/>
  <c r="F80" i="4"/>
  <c r="H78" i="3"/>
  <c r="C80" i="4"/>
  <c r="D80" i="4"/>
  <c r="E80" i="4"/>
  <c r="G80" i="4"/>
  <c r="L80" i="4"/>
  <c r="F81" i="4"/>
  <c r="H79" i="3"/>
  <c r="C81" i="4"/>
  <c r="D81" i="4"/>
  <c r="E81" i="4"/>
  <c r="G81" i="4"/>
  <c r="L81" i="4"/>
  <c r="F82" i="4"/>
  <c r="H80" i="3"/>
  <c r="C82" i="4"/>
  <c r="D82" i="4"/>
  <c r="E82" i="4"/>
  <c r="G82" i="4"/>
  <c r="L82" i="4"/>
  <c r="F83" i="4"/>
  <c r="H81" i="3"/>
  <c r="C83" i="4"/>
  <c r="D83" i="4"/>
  <c r="E83" i="4"/>
  <c r="G83" i="4"/>
  <c r="L83" i="4"/>
  <c r="F84" i="4"/>
  <c r="H82" i="3"/>
  <c r="C84" i="4"/>
  <c r="D84" i="4"/>
  <c r="E84" i="4"/>
  <c r="G84" i="4"/>
  <c r="L84" i="4"/>
  <c r="F85" i="4"/>
  <c r="H83" i="3"/>
  <c r="C85" i="4"/>
  <c r="D85" i="4"/>
  <c r="E85" i="4"/>
  <c r="G85" i="4"/>
  <c r="L85" i="4"/>
  <c r="F86" i="4"/>
  <c r="H84" i="3"/>
  <c r="C86" i="4"/>
  <c r="D86" i="4"/>
  <c r="E86" i="4"/>
  <c r="G86" i="4"/>
  <c r="L86" i="4"/>
  <c r="F87" i="4"/>
  <c r="H85" i="3"/>
  <c r="C87" i="4"/>
  <c r="D87" i="4"/>
  <c r="E87" i="4"/>
  <c r="G87" i="4"/>
  <c r="L87" i="4"/>
  <c r="F88" i="4"/>
  <c r="H86" i="3"/>
  <c r="C88" i="4"/>
  <c r="D88" i="4"/>
  <c r="E88" i="4"/>
  <c r="G88" i="4"/>
  <c r="L88" i="4"/>
  <c r="F89" i="4"/>
  <c r="L104" i="3"/>
  <c r="K104" i="3"/>
  <c r="C89" i="4"/>
  <c r="N5" i="4"/>
  <c r="P5" i="4"/>
  <c r="Q5" i="4"/>
  <c r="N6" i="4"/>
  <c r="P6" i="4"/>
  <c r="Q6" i="4"/>
  <c r="N7" i="4"/>
  <c r="P7" i="4"/>
  <c r="Q7" i="4"/>
  <c r="N8" i="4"/>
  <c r="P8" i="4"/>
  <c r="Q8" i="4"/>
  <c r="N9" i="4"/>
  <c r="P9" i="4"/>
  <c r="Q9" i="4"/>
  <c r="N10" i="4"/>
  <c r="P10" i="4"/>
  <c r="Q10" i="4"/>
  <c r="N11" i="4"/>
  <c r="P11" i="4"/>
  <c r="Q11" i="4"/>
  <c r="N12" i="4"/>
  <c r="P12" i="4"/>
  <c r="Q12" i="4"/>
  <c r="N13" i="4"/>
  <c r="P13" i="4"/>
  <c r="Q13" i="4"/>
  <c r="N14" i="4"/>
  <c r="P14" i="4"/>
  <c r="Q14" i="4"/>
  <c r="N15" i="4"/>
  <c r="P15" i="4"/>
  <c r="Q15" i="4"/>
  <c r="N16" i="4"/>
  <c r="P16" i="4"/>
  <c r="Q16" i="4"/>
  <c r="N17" i="4"/>
  <c r="P17" i="4"/>
  <c r="Q17" i="4"/>
  <c r="N18" i="4"/>
  <c r="P18" i="4"/>
  <c r="Q18" i="4"/>
  <c r="N19" i="4"/>
  <c r="P19" i="4"/>
  <c r="Q19" i="4"/>
  <c r="N20" i="4"/>
  <c r="P20" i="4"/>
  <c r="Q20" i="4"/>
  <c r="N21" i="4"/>
  <c r="P21" i="4"/>
  <c r="Q21" i="4"/>
  <c r="N22" i="4"/>
  <c r="P22" i="4"/>
  <c r="Q22" i="4"/>
  <c r="N23" i="4"/>
  <c r="P23" i="4"/>
  <c r="Q23" i="4"/>
  <c r="N24" i="4"/>
  <c r="P24" i="4"/>
  <c r="Q24" i="4"/>
  <c r="N25" i="4"/>
  <c r="P25" i="4"/>
  <c r="Q25" i="4"/>
  <c r="N26" i="4"/>
  <c r="P26" i="4"/>
  <c r="Q26" i="4"/>
  <c r="N27" i="4"/>
  <c r="P27" i="4"/>
  <c r="Q27" i="4"/>
  <c r="N28" i="4"/>
  <c r="P28" i="4"/>
  <c r="Q28" i="4"/>
  <c r="N29" i="4"/>
  <c r="P29" i="4"/>
  <c r="Q29" i="4"/>
  <c r="N30" i="4"/>
  <c r="P30" i="4"/>
  <c r="Q30" i="4"/>
  <c r="N31" i="4"/>
  <c r="P31" i="4"/>
  <c r="Q31" i="4"/>
  <c r="N32" i="4"/>
  <c r="P32" i="4"/>
  <c r="Q32" i="4"/>
  <c r="N33" i="4"/>
  <c r="P33" i="4"/>
  <c r="Q33" i="4"/>
  <c r="N34" i="4"/>
  <c r="P34" i="4"/>
  <c r="Q34" i="4"/>
  <c r="N35" i="4"/>
  <c r="P35" i="4"/>
  <c r="Q35" i="4"/>
  <c r="N36" i="4"/>
  <c r="P36" i="4"/>
  <c r="Q36" i="4"/>
  <c r="N37" i="4"/>
  <c r="P37" i="4"/>
  <c r="Q37" i="4"/>
  <c r="N38" i="4"/>
  <c r="P38" i="4"/>
  <c r="Q38" i="4"/>
  <c r="N39" i="4"/>
  <c r="P39" i="4"/>
  <c r="Q39" i="4"/>
  <c r="N40" i="4"/>
  <c r="P40" i="4"/>
  <c r="Q40" i="4"/>
  <c r="N41" i="4"/>
  <c r="P41" i="4"/>
  <c r="Q41" i="4"/>
  <c r="N42" i="4"/>
  <c r="P42" i="4"/>
  <c r="Q42" i="4"/>
  <c r="N43" i="4"/>
  <c r="P43" i="4"/>
  <c r="Q43" i="4"/>
  <c r="N44" i="4"/>
  <c r="P44" i="4"/>
  <c r="Q44" i="4"/>
  <c r="N45" i="4"/>
  <c r="P45" i="4"/>
  <c r="Q45" i="4"/>
  <c r="N46" i="4"/>
  <c r="P46" i="4"/>
  <c r="Q46" i="4"/>
  <c r="N47" i="4"/>
  <c r="P47" i="4"/>
  <c r="Q47" i="4"/>
  <c r="N48" i="4"/>
  <c r="P48" i="4"/>
  <c r="Q48" i="4"/>
  <c r="N49" i="4"/>
  <c r="P49" i="4"/>
  <c r="Q49" i="4"/>
  <c r="N50" i="4"/>
  <c r="P50" i="4"/>
  <c r="Q50" i="4"/>
  <c r="N51" i="4"/>
  <c r="P51" i="4"/>
  <c r="Q51" i="4"/>
  <c r="N52" i="4"/>
  <c r="P52" i="4"/>
  <c r="Q52" i="4"/>
  <c r="N53" i="4"/>
  <c r="P53" i="4"/>
  <c r="Q53" i="4"/>
  <c r="N54" i="4"/>
  <c r="P54" i="4"/>
  <c r="Q54" i="4"/>
  <c r="N55" i="4"/>
  <c r="P55" i="4"/>
  <c r="Q55" i="4"/>
  <c r="N56" i="4"/>
  <c r="P56" i="4"/>
  <c r="Q56" i="4"/>
  <c r="N57" i="4"/>
  <c r="P57" i="4"/>
  <c r="Q57" i="4"/>
  <c r="N58" i="4"/>
  <c r="P58" i="4"/>
  <c r="Q58" i="4"/>
  <c r="N59" i="4"/>
  <c r="P59" i="4"/>
  <c r="Q59" i="4"/>
  <c r="N60" i="4"/>
  <c r="P60" i="4"/>
  <c r="Q60" i="4"/>
  <c r="N61" i="4"/>
  <c r="P61" i="4"/>
  <c r="Q61" i="4"/>
  <c r="N62" i="4"/>
  <c r="P62" i="4"/>
  <c r="Q62" i="4"/>
  <c r="N63" i="4"/>
  <c r="P63" i="4"/>
  <c r="Q63" i="4"/>
  <c r="N64" i="4"/>
  <c r="P64" i="4"/>
  <c r="Q64" i="4"/>
  <c r="N65" i="4"/>
  <c r="P65" i="4"/>
  <c r="Q65" i="4"/>
  <c r="N66" i="4"/>
  <c r="P66" i="4"/>
  <c r="Q66" i="4"/>
  <c r="N67" i="4"/>
  <c r="P67" i="4"/>
  <c r="Q67" i="4"/>
  <c r="N68" i="4"/>
  <c r="P68" i="4"/>
  <c r="Q68" i="4"/>
  <c r="N69" i="4"/>
  <c r="P69" i="4"/>
  <c r="Q69" i="4"/>
  <c r="N70" i="4"/>
  <c r="P70" i="4"/>
  <c r="Q70" i="4"/>
  <c r="N71" i="4"/>
  <c r="P71" i="4"/>
  <c r="Q71" i="4"/>
  <c r="N72" i="4"/>
  <c r="P72" i="4"/>
  <c r="Q72" i="4"/>
  <c r="N73" i="4"/>
  <c r="P73" i="4"/>
  <c r="Q73" i="4"/>
  <c r="N74" i="4"/>
  <c r="P74" i="4"/>
  <c r="Q74" i="4"/>
  <c r="N75" i="4"/>
  <c r="P75" i="4"/>
  <c r="Q75" i="4"/>
  <c r="N76" i="4"/>
  <c r="P76" i="4"/>
  <c r="Q76" i="4"/>
  <c r="N77" i="4"/>
  <c r="P77" i="4"/>
  <c r="Q77" i="4"/>
  <c r="N78" i="4"/>
  <c r="P78" i="4"/>
  <c r="Q78" i="4"/>
  <c r="N79" i="4"/>
  <c r="P79" i="4"/>
  <c r="Q79" i="4"/>
  <c r="N80" i="4"/>
  <c r="P80" i="4"/>
  <c r="Q80" i="4"/>
  <c r="N81" i="4"/>
  <c r="P81" i="4"/>
  <c r="Q81" i="4"/>
  <c r="N82" i="4"/>
  <c r="P82" i="4"/>
  <c r="Q82" i="4"/>
  <c r="N83" i="4"/>
  <c r="P83" i="4"/>
  <c r="Q83" i="4"/>
  <c r="N84" i="4"/>
  <c r="P84" i="4"/>
  <c r="Q84" i="4"/>
  <c r="N85" i="4"/>
  <c r="P85" i="4"/>
  <c r="Q85" i="4"/>
  <c r="N86" i="4"/>
  <c r="P86" i="4"/>
  <c r="Q86" i="4"/>
  <c r="N87" i="4"/>
  <c r="P87" i="4"/>
  <c r="Q87" i="4"/>
  <c r="N88" i="4"/>
  <c r="P88" i="4"/>
  <c r="Q88" i="4"/>
  <c r="N89" i="4"/>
  <c r="P89" i="4"/>
  <c r="Q89" i="4"/>
  <c r="O6" i="6"/>
  <c r="H5" i="5"/>
  <c r="I5" i="5"/>
  <c r="H6" i="5"/>
  <c r="J5" i="5"/>
  <c r="C4" i="5"/>
  <c r="D4" i="5"/>
  <c r="E4" i="5"/>
  <c r="F5" i="5"/>
  <c r="C5" i="5"/>
  <c r="D5" i="5"/>
  <c r="E5" i="5"/>
  <c r="F6" i="5"/>
  <c r="K5" i="5"/>
  <c r="I6" i="5"/>
  <c r="H7" i="5"/>
  <c r="J6" i="5"/>
  <c r="C6" i="5"/>
  <c r="D6" i="5"/>
  <c r="E6" i="5"/>
  <c r="F7" i="5"/>
  <c r="K6" i="5"/>
  <c r="I7" i="5"/>
  <c r="H8" i="5"/>
  <c r="J7" i="5"/>
  <c r="C7" i="5"/>
  <c r="D7" i="5"/>
  <c r="E7" i="5"/>
  <c r="F8" i="5"/>
  <c r="K7" i="5"/>
  <c r="I8" i="5"/>
  <c r="H9" i="5"/>
  <c r="J8" i="5"/>
  <c r="C8" i="5"/>
  <c r="D8" i="5"/>
  <c r="E8" i="5"/>
  <c r="F9" i="5"/>
  <c r="K8" i="5"/>
  <c r="I9" i="5"/>
  <c r="H10" i="5"/>
  <c r="J9" i="5"/>
  <c r="C9" i="5"/>
  <c r="D9" i="5"/>
  <c r="E9" i="5"/>
  <c r="F10" i="5"/>
  <c r="K9" i="5"/>
  <c r="I10" i="5"/>
  <c r="H11" i="5"/>
  <c r="J10" i="5"/>
  <c r="C10" i="5"/>
  <c r="D10" i="5"/>
  <c r="E10" i="5"/>
  <c r="F11" i="5"/>
  <c r="K10" i="5"/>
  <c r="I11" i="5"/>
  <c r="H12" i="5"/>
  <c r="J11" i="5"/>
  <c r="C11" i="5"/>
  <c r="D11" i="5"/>
  <c r="E11" i="5"/>
  <c r="F12" i="5"/>
  <c r="K11" i="5"/>
  <c r="I12" i="5"/>
  <c r="H13" i="5"/>
  <c r="J12" i="5"/>
  <c r="C12" i="5"/>
  <c r="D12" i="5"/>
  <c r="E12" i="5"/>
  <c r="F13" i="5"/>
  <c r="K12" i="5"/>
  <c r="I13" i="5"/>
  <c r="H14" i="5"/>
  <c r="J13" i="5"/>
  <c r="C13" i="5"/>
  <c r="D13" i="5"/>
  <c r="E13" i="5"/>
  <c r="F14" i="5"/>
  <c r="K13" i="5"/>
  <c r="I14" i="5"/>
  <c r="H15" i="5"/>
  <c r="J14" i="5"/>
  <c r="C14" i="5"/>
  <c r="D14" i="5"/>
  <c r="E14" i="5"/>
  <c r="F15" i="5"/>
  <c r="K14" i="5"/>
  <c r="I15" i="5"/>
  <c r="H16" i="5"/>
  <c r="J15" i="5"/>
  <c r="C15" i="5"/>
  <c r="D15" i="5"/>
  <c r="E15" i="5"/>
  <c r="F16" i="5"/>
  <c r="K15" i="5"/>
  <c r="I16" i="5"/>
  <c r="H17" i="5"/>
  <c r="J16" i="5"/>
  <c r="C16" i="5"/>
  <c r="D16" i="5"/>
  <c r="E16" i="5"/>
  <c r="F17" i="5"/>
  <c r="K16" i="5"/>
  <c r="I17" i="5"/>
  <c r="H18" i="5"/>
  <c r="J17" i="5"/>
  <c r="C17" i="5"/>
  <c r="D17" i="5"/>
  <c r="E17" i="5"/>
  <c r="F18" i="5"/>
  <c r="K17" i="5"/>
  <c r="I18" i="5"/>
  <c r="H19" i="5"/>
  <c r="J18" i="5"/>
  <c r="C18" i="5"/>
  <c r="D18" i="5"/>
  <c r="E18" i="5"/>
  <c r="F19" i="5"/>
  <c r="K18" i="5"/>
  <c r="I19" i="5"/>
  <c r="H20" i="5"/>
  <c r="J19" i="5"/>
  <c r="C19" i="5"/>
  <c r="D19" i="5"/>
  <c r="E19" i="5"/>
  <c r="F20" i="5"/>
  <c r="K19" i="5"/>
  <c r="I20" i="5"/>
  <c r="H21" i="5"/>
  <c r="J20" i="5"/>
  <c r="C20" i="5"/>
  <c r="D20" i="5"/>
  <c r="E20" i="5"/>
  <c r="F21" i="5"/>
  <c r="K20" i="5"/>
  <c r="I21" i="5"/>
  <c r="H22" i="5"/>
  <c r="J21" i="5"/>
  <c r="C21" i="5"/>
  <c r="D21" i="5"/>
  <c r="E21" i="5"/>
  <c r="F22" i="5"/>
  <c r="K21" i="5"/>
  <c r="I22" i="5"/>
  <c r="H23" i="5"/>
  <c r="J22" i="5"/>
  <c r="C22" i="5"/>
  <c r="D22" i="5"/>
  <c r="E22" i="5"/>
  <c r="F23" i="5"/>
  <c r="K22" i="5"/>
  <c r="I23" i="5"/>
  <c r="H24" i="5"/>
  <c r="J23" i="5"/>
  <c r="C23" i="5"/>
  <c r="D23" i="5"/>
  <c r="E23" i="5"/>
  <c r="F24" i="5"/>
  <c r="K23" i="5"/>
  <c r="I24" i="5"/>
  <c r="H25" i="5"/>
  <c r="J24" i="5"/>
  <c r="C24" i="5"/>
  <c r="D24" i="5"/>
  <c r="E24" i="5"/>
  <c r="F25" i="5"/>
  <c r="K24" i="5"/>
  <c r="I25" i="5"/>
  <c r="H26" i="5"/>
  <c r="J25" i="5"/>
  <c r="C25" i="5"/>
  <c r="D25" i="5"/>
  <c r="E25" i="5"/>
  <c r="F26" i="5"/>
  <c r="K25" i="5"/>
  <c r="I26" i="5"/>
  <c r="H27" i="5"/>
  <c r="J26" i="5"/>
  <c r="C26" i="5"/>
  <c r="D26" i="5"/>
  <c r="E26" i="5"/>
  <c r="F27" i="5"/>
  <c r="K26" i="5"/>
  <c r="I27" i="5"/>
  <c r="H28" i="5"/>
  <c r="J27" i="5"/>
  <c r="C27" i="5"/>
  <c r="D27" i="5"/>
  <c r="E27" i="5"/>
  <c r="F28" i="5"/>
  <c r="K27" i="5"/>
  <c r="I28" i="5"/>
  <c r="H29" i="5"/>
  <c r="J28" i="5"/>
  <c r="C28" i="5"/>
  <c r="D28" i="5"/>
  <c r="E28" i="5"/>
  <c r="F29" i="5"/>
  <c r="K28" i="5"/>
  <c r="I29" i="5"/>
  <c r="H30" i="5"/>
  <c r="J29" i="5"/>
  <c r="C29" i="5"/>
  <c r="D29" i="5"/>
  <c r="E29" i="5"/>
  <c r="F30" i="5"/>
  <c r="K29" i="5"/>
  <c r="I30" i="5"/>
  <c r="H31" i="5"/>
  <c r="J30" i="5"/>
  <c r="C30" i="5"/>
  <c r="D30" i="5"/>
  <c r="E30" i="5"/>
  <c r="F31" i="5"/>
  <c r="K30" i="5"/>
  <c r="I31" i="5"/>
  <c r="H32" i="5"/>
  <c r="J31" i="5"/>
  <c r="C31" i="5"/>
  <c r="D31" i="5"/>
  <c r="E31" i="5"/>
  <c r="F32" i="5"/>
  <c r="K31" i="5"/>
  <c r="I32" i="5"/>
  <c r="H33" i="5"/>
  <c r="J32" i="5"/>
  <c r="C32" i="5"/>
  <c r="D32" i="5"/>
  <c r="E32" i="5"/>
  <c r="F33" i="5"/>
  <c r="K32" i="5"/>
  <c r="I33" i="5"/>
  <c r="H34" i="5"/>
  <c r="J33" i="5"/>
  <c r="C33" i="5"/>
  <c r="D33" i="5"/>
  <c r="E33" i="5"/>
  <c r="F34" i="5"/>
  <c r="K33" i="5"/>
  <c r="I34" i="5"/>
  <c r="H35" i="5"/>
  <c r="J34" i="5"/>
  <c r="C34" i="5"/>
  <c r="D34" i="5"/>
  <c r="E34" i="5"/>
  <c r="F35" i="5"/>
  <c r="K34" i="5"/>
  <c r="I35" i="5"/>
  <c r="H36" i="5"/>
  <c r="J35" i="5"/>
  <c r="C35" i="5"/>
  <c r="D35" i="5"/>
  <c r="E35" i="5"/>
  <c r="F36" i="5"/>
  <c r="K35" i="5"/>
  <c r="I36" i="5"/>
  <c r="H37" i="5"/>
  <c r="J36" i="5"/>
  <c r="C36" i="5"/>
  <c r="D36" i="5"/>
  <c r="E36" i="5"/>
  <c r="F37" i="5"/>
  <c r="K36" i="5"/>
  <c r="I37" i="5"/>
  <c r="H38" i="5"/>
  <c r="J37" i="5"/>
  <c r="C37" i="5"/>
  <c r="D37" i="5"/>
  <c r="E37" i="5"/>
  <c r="F38" i="5"/>
  <c r="K37" i="5"/>
  <c r="I38" i="5"/>
  <c r="H39" i="5"/>
  <c r="J38" i="5"/>
  <c r="C38" i="5"/>
  <c r="D38" i="5"/>
  <c r="E38" i="5"/>
  <c r="F39" i="5"/>
  <c r="K38" i="5"/>
  <c r="I39" i="5"/>
  <c r="H40" i="5"/>
  <c r="J39" i="5"/>
  <c r="C39" i="5"/>
  <c r="D39" i="5"/>
  <c r="E39" i="5"/>
  <c r="F40" i="5"/>
  <c r="K39" i="5"/>
  <c r="I40" i="5"/>
  <c r="H41" i="5"/>
  <c r="J40" i="5"/>
  <c r="C40" i="5"/>
  <c r="D40" i="5"/>
  <c r="E40" i="5"/>
  <c r="F41" i="5"/>
  <c r="K40" i="5"/>
  <c r="I41" i="5"/>
  <c r="H42" i="5"/>
  <c r="J41" i="5"/>
  <c r="C41" i="5"/>
  <c r="D41" i="5"/>
  <c r="E41" i="5"/>
  <c r="F42" i="5"/>
  <c r="K41" i="5"/>
  <c r="I42" i="5"/>
  <c r="H43" i="5"/>
  <c r="J42" i="5"/>
  <c r="C42" i="5"/>
  <c r="D42" i="5"/>
  <c r="E42" i="5"/>
  <c r="F43" i="5"/>
  <c r="K42" i="5"/>
  <c r="I43" i="5"/>
  <c r="H44" i="5"/>
  <c r="J43" i="5"/>
  <c r="C43" i="5"/>
  <c r="D43" i="5"/>
  <c r="E43" i="5"/>
  <c r="F44" i="5"/>
  <c r="K43" i="5"/>
  <c r="I44" i="5"/>
  <c r="H45" i="5"/>
  <c r="J44" i="5"/>
  <c r="C44" i="5"/>
  <c r="D44" i="5"/>
  <c r="E44" i="5"/>
  <c r="F45" i="5"/>
  <c r="K44" i="5"/>
  <c r="I45" i="5"/>
  <c r="H46" i="5"/>
  <c r="J45" i="5"/>
  <c r="C45" i="5"/>
  <c r="D45" i="5"/>
  <c r="E45" i="5"/>
  <c r="F46" i="5"/>
  <c r="K45" i="5"/>
  <c r="I46" i="5"/>
  <c r="H47" i="5"/>
  <c r="J46" i="5"/>
  <c r="C46" i="5"/>
  <c r="D46" i="5"/>
  <c r="E46" i="5"/>
  <c r="F47" i="5"/>
  <c r="K46" i="5"/>
  <c r="I47" i="5"/>
  <c r="H48" i="5"/>
  <c r="J47" i="5"/>
  <c r="C47" i="5"/>
  <c r="D47" i="5"/>
  <c r="E47" i="5"/>
  <c r="F48" i="5"/>
  <c r="K47" i="5"/>
  <c r="I48" i="5"/>
  <c r="H49" i="5"/>
  <c r="J48" i="5"/>
  <c r="C48" i="5"/>
  <c r="D48" i="5"/>
  <c r="E48" i="5"/>
  <c r="F49" i="5"/>
  <c r="K48" i="5"/>
  <c r="I49" i="5"/>
  <c r="H50" i="5"/>
  <c r="J49" i="5"/>
  <c r="C49" i="5"/>
  <c r="D49" i="5"/>
  <c r="E49" i="5"/>
  <c r="F50" i="5"/>
  <c r="K49" i="5"/>
  <c r="I50" i="5"/>
  <c r="H51" i="5"/>
  <c r="J50" i="5"/>
  <c r="C50" i="5"/>
  <c r="D50" i="5"/>
  <c r="E50" i="5"/>
  <c r="F51" i="5"/>
  <c r="K50" i="5"/>
  <c r="I51" i="5"/>
  <c r="H52" i="5"/>
  <c r="J51" i="5"/>
  <c r="C51" i="5"/>
  <c r="D51" i="5"/>
  <c r="E51" i="5"/>
  <c r="F52" i="5"/>
  <c r="K51" i="5"/>
  <c r="I52" i="5"/>
  <c r="H53" i="5"/>
  <c r="J52" i="5"/>
  <c r="C52" i="5"/>
  <c r="D52" i="5"/>
  <c r="E52" i="5"/>
  <c r="F53" i="5"/>
  <c r="K52" i="5"/>
  <c r="I53" i="5"/>
  <c r="H54" i="5"/>
  <c r="J53" i="5"/>
  <c r="C53" i="5"/>
  <c r="D53" i="5"/>
  <c r="E53" i="5"/>
  <c r="F54" i="5"/>
  <c r="K53" i="5"/>
  <c r="I54" i="5"/>
  <c r="H55" i="5"/>
  <c r="J54" i="5"/>
  <c r="C54" i="5"/>
  <c r="D54" i="5"/>
  <c r="E54" i="5"/>
  <c r="F55" i="5"/>
  <c r="K54" i="5"/>
  <c r="I55" i="5"/>
  <c r="H56" i="5"/>
  <c r="J55" i="5"/>
  <c r="C55" i="5"/>
  <c r="D55" i="5"/>
  <c r="E55" i="5"/>
  <c r="F56" i="5"/>
  <c r="K55" i="5"/>
  <c r="I56" i="5"/>
  <c r="H57" i="5"/>
  <c r="J56" i="5"/>
  <c r="C56" i="5"/>
  <c r="D56" i="5"/>
  <c r="E56" i="5"/>
  <c r="F57" i="5"/>
  <c r="K56" i="5"/>
  <c r="I57" i="5"/>
  <c r="H58" i="5"/>
  <c r="J57" i="5"/>
  <c r="C57" i="5"/>
  <c r="D57" i="5"/>
  <c r="E57" i="5"/>
  <c r="F58" i="5"/>
  <c r="K57" i="5"/>
  <c r="I58" i="5"/>
  <c r="H59" i="5"/>
  <c r="J58" i="5"/>
  <c r="C58" i="5"/>
  <c r="D58" i="5"/>
  <c r="E58" i="5"/>
  <c r="F59" i="5"/>
  <c r="K58" i="5"/>
  <c r="I59" i="5"/>
  <c r="H60" i="5"/>
  <c r="J59" i="5"/>
  <c r="C59" i="5"/>
  <c r="D59" i="5"/>
  <c r="E59" i="5"/>
  <c r="F60" i="5"/>
  <c r="K59" i="5"/>
  <c r="I60" i="5"/>
  <c r="H61" i="5"/>
  <c r="J60" i="5"/>
  <c r="C60" i="5"/>
  <c r="D60" i="5"/>
  <c r="E60" i="5"/>
  <c r="F61" i="5"/>
  <c r="K60" i="5"/>
  <c r="I61" i="5"/>
  <c r="H62" i="5"/>
  <c r="J61" i="5"/>
  <c r="C61" i="5"/>
  <c r="D61" i="5"/>
  <c r="E61" i="5"/>
  <c r="F62" i="5"/>
  <c r="K61" i="5"/>
  <c r="I62" i="5"/>
  <c r="H63" i="5"/>
  <c r="J62" i="5"/>
  <c r="C62" i="5"/>
  <c r="D62" i="5"/>
  <c r="E62" i="5"/>
  <c r="F63" i="5"/>
  <c r="K62" i="5"/>
  <c r="I63" i="5"/>
  <c r="H64" i="5"/>
  <c r="J63" i="5"/>
  <c r="C63" i="5"/>
  <c r="D63" i="5"/>
  <c r="E63" i="5"/>
  <c r="F64" i="5"/>
  <c r="K63" i="5"/>
  <c r="I64" i="5"/>
  <c r="H65" i="5"/>
  <c r="J64" i="5"/>
  <c r="C64" i="5"/>
  <c r="D64" i="5"/>
  <c r="E64" i="5"/>
  <c r="F65" i="5"/>
  <c r="K64" i="5"/>
  <c r="I65" i="5"/>
  <c r="H66" i="5"/>
  <c r="J65" i="5"/>
  <c r="C65" i="5"/>
  <c r="D65" i="5"/>
  <c r="E65" i="5"/>
  <c r="F66" i="5"/>
  <c r="K65" i="5"/>
  <c r="I66" i="5"/>
  <c r="H67" i="5"/>
  <c r="J66" i="5"/>
  <c r="C66" i="5"/>
  <c r="D66" i="5"/>
  <c r="E66" i="5"/>
  <c r="F67" i="5"/>
  <c r="K66" i="5"/>
  <c r="I67" i="5"/>
  <c r="H68" i="5"/>
  <c r="J67" i="5"/>
  <c r="C67" i="5"/>
  <c r="D67" i="5"/>
  <c r="E67" i="5"/>
  <c r="F68" i="5"/>
  <c r="K67" i="5"/>
  <c r="I68" i="5"/>
  <c r="H69" i="5"/>
  <c r="J68" i="5"/>
  <c r="C68" i="5"/>
  <c r="D68" i="5"/>
  <c r="E68" i="5"/>
  <c r="F69" i="5"/>
  <c r="K68" i="5"/>
  <c r="I69" i="5"/>
  <c r="H70" i="5"/>
  <c r="J69" i="5"/>
  <c r="C69" i="5"/>
  <c r="D69" i="5"/>
  <c r="E69" i="5"/>
  <c r="F70" i="5"/>
  <c r="K69" i="5"/>
  <c r="I70" i="5"/>
  <c r="H71" i="5"/>
  <c r="J70" i="5"/>
  <c r="C70" i="5"/>
  <c r="D70" i="5"/>
  <c r="E70" i="5"/>
  <c r="F71" i="5"/>
  <c r="K70" i="5"/>
  <c r="I71" i="5"/>
  <c r="H72" i="5"/>
  <c r="J71" i="5"/>
  <c r="C71" i="5"/>
  <c r="D71" i="5"/>
  <c r="E71" i="5"/>
  <c r="F72" i="5"/>
  <c r="K71" i="5"/>
  <c r="I72" i="5"/>
  <c r="H73" i="5"/>
  <c r="J72" i="5"/>
  <c r="C72" i="5"/>
  <c r="D72" i="5"/>
  <c r="E72" i="5"/>
  <c r="F73" i="5"/>
  <c r="K72" i="5"/>
  <c r="I73" i="5"/>
  <c r="H74" i="5"/>
  <c r="J73" i="5"/>
  <c r="C73" i="5"/>
  <c r="D73" i="5"/>
  <c r="E73" i="5"/>
  <c r="F74" i="5"/>
  <c r="K73" i="5"/>
  <c r="I74" i="5"/>
  <c r="H75" i="5"/>
  <c r="J74" i="5"/>
  <c r="C74" i="5"/>
  <c r="D74" i="5"/>
  <c r="E74" i="5"/>
  <c r="F75" i="5"/>
  <c r="K74" i="5"/>
  <c r="I75" i="5"/>
  <c r="H76" i="5"/>
  <c r="J75" i="5"/>
  <c r="C75" i="5"/>
  <c r="D75" i="5"/>
  <c r="E75" i="5"/>
  <c r="F76" i="5"/>
  <c r="K75" i="5"/>
  <c r="I76" i="5"/>
  <c r="H77" i="5"/>
  <c r="J76" i="5"/>
  <c r="C76" i="5"/>
  <c r="D76" i="5"/>
  <c r="E76" i="5"/>
  <c r="F77" i="5"/>
  <c r="K76" i="5"/>
  <c r="I77" i="5"/>
  <c r="H78" i="5"/>
  <c r="J77" i="5"/>
  <c r="C77" i="5"/>
  <c r="D77" i="5"/>
  <c r="E77" i="5"/>
  <c r="F78" i="5"/>
  <c r="K77" i="5"/>
  <c r="I78" i="5"/>
  <c r="H79" i="5"/>
  <c r="J78" i="5"/>
  <c r="C78" i="5"/>
  <c r="D78" i="5"/>
  <c r="E78" i="5"/>
  <c r="F79" i="5"/>
  <c r="K78" i="5"/>
  <c r="I79" i="5"/>
  <c r="H80" i="5"/>
  <c r="J79" i="5"/>
  <c r="C79" i="5"/>
  <c r="D79" i="5"/>
  <c r="E79" i="5"/>
  <c r="F80" i="5"/>
  <c r="K79" i="5"/>
  <c r="I80" i="5"/>
  <c r="H81" i="5"/>
  <c r="J80" i="5"/>
  <c r="C80" i="5"/>
  <c r="D80" i="5"/>
  <c r="E80" i="5"/>
  <c r="F81" i="5"/>
  <c r="K80" i="5"/>
  <c r="I81" i="5"/>
  <c r="H82" i="5"/>
  <c r="J81" i="5"/>
  <c r="C81" i="5"/>
  <c r="D81" i="5"/>
  <c r="E81" i="5"/>
  <c r="F82" i="5"/>
  <c r="K81" i="5"/>
  <c r="I82" i="5"/>
  <c r="H83" i="5"/>
  <c r="J82" i="5"/>
  <c r="C82" i="5"/>
  <c r="D82" i="5"/>
  <c r="E82" i="5"/>
  <c r="F83" i="5"/>
  <c r="K82" i="5"/>
  <c r="I83" i="5"/>
  <c r="H84" i="5"/>
  <c r="J83" i="5"/>
  <c r="C83" i="5"/>
  <c r="D83" i="5"/>
  <c r="E83" i="5"/>
  <c r="F84" i="5"/>
  <c r="K83" i="5"/>
  <c r="I84" i="5"/>
  <c r="H85" i="5"/>
  <c r="J84" i="5"/>
  <c r="C84" i="5"/>
  <c r="D84" i="5"/>
  <c r="E84" i="5"/>
  <c r="F85" i="5"/>
  <c r="K84" i="5"/>
  <c r="I85" i="5"/>
  <c r="H86" i="5"/>
  <c r="J85" i="5"/>
  <c r="C85" i="5"/>
  <c r="D85" i="5"/>
  <c r="E85" i="5"/>
  <c r="F86" i="5"/>
  <c r="K85" i="5"/>
  <c r="I86" i="5"/>
  <c r="H87" i="5"/>
  <c r="J86" i="5"/>
  <c r="C86" i="5"/>
  <c r="D86" i="5"/>
  <c r="E86" i="5"/>
  <c r="F87" i="5"/>
  <c r="K86" i="5"/>
  <c r="I87" i="5"/>
  <c r="H88" i="5"/>
  <c r="J87" i="5"/>
  <c r="C87" i="5"/>
  <c r="D87" i="5"/>
  <c r="E87" i="5"/>
  <c r="F88" i="5"/>
  <c r="K87" i="5"/>
  <c r="I88" i="5"/>
  <c r="H89" i="5"/>
  <c r="J88" i="5"/>
  <c r="C88" i="5"/>
  <c r="D88" i="5"/>
  <c r="E88" i="5"/>
  <c r="F89" i="5"/>
  <c r="K88" i="5"/>
  <c r="N89" i="5"/>
  <c r="C89" i="5"/>
  <c r="K89" i="5"/>
  <c r="M5" i="5"/>
  <c r="O5" i="5"/>
  <c r="N5" i="5"/>
  <c r="P5" i="5"/>
  <c r="R5" i="4"/>
  <c r="M6" i="5"/>
  <c r="O6" i="5"/>
  <c r="N6" i="5"/>
  <c r="P6" i="5"/>
  <c r="R6" i="4"/>
  <c r="M7" i="5"/>
  <c r="O7" i="5"/>
  <c r="N7" i="5"/>
  <c r="P7" i="5"/>
  <c r="R7" i="4"/>
  <c r="M8" i="5"/>
  <c r="O8" i="5"/>
  <c r="N8" i="5"/>
  <c r="P8" i="5"/>
  <c r="R8" i="4"/>
  <c r="M9" i="5"/>
  <c r="O9" i="5"/>
  <c r="N9" i="5"/>
  <c r="P9" i="5"/>
  <c r="R9" i="4"/>
  <c r="M10" i="5"/>
  <c r="O10" i="5"/>
  <c r="N10" i="5"/>
  <c r="P10" i="5"/>
  <c r="R10" i="4"/>
  <c r="M11" i="5"/>
  <c r="O11" i="5"/>
  <c r="N11" i="5"/>
  <c r="P11" i="5"/>
  <c r="R11" i="4"/>
  <c r="M12" i="5"/>
  <c r="O12" i="5"/>
  <c r="N12" i="5"/>
  <c r="P12" i="5"/>
  <c r="R12" i="4"/>
  <c r="M13" i="5"/>
  <c r="O13" i="5"/>
  <c r="N13" i="5"/>
  <c r="P13" i="5"/>
  <c r="R13" i="4"/>
  <c r="M14" i="5"/>
  <c r="O14" i="5"/>
  <c r="N14" i="5"/>
  <c r="P14" i="5"/>
  <c r="R14" i="4"/>
  <c r="M15" i="5"/>
  <c r="O15" i="5"/>
  <c r="N15" i="5"/>
  <c r="P15" i="5"/>
  <c r="R15" i="4"/>
  <c r="M16" i="5"/>
  <c r="O16" i="5"/>
  <c r="N16" i="5"/>
  <c r="P16" i="5"/>
  <c r="R16" i="4"/>
  <c r="M17" i="5"/>
  <c r="O17" i="5"/>
  <c r="N17" i="5"/>
  <c r="P17" i="5"/>
  <c r="R17" i="4"/>
  <c r="M18" i="5"/>
  <c r="O18" i="5"/>
  <c r="N18" i="5"/>
  <c r="P18" i="5"/>
  <c r="R18" i="4"/>
  <c r="M19" i="5"/>
  <c r="O19" i="5"/>
  <c r="N19" i="5"/>
  <c r="P19" i="5"/>
  <c r="R19" i="4"/>
  <c r="M20" i="5"/>
  <c r="O20" i="5"/>
  <c r="N20" i="5"/>
  <c r="P20" i="5"/>
  <c r="R20" i="4"/>
  <c r="M21" i="5"/>
  <c r="O21" i="5"/>
  <c r="N21" i="5"/>
  <c r="P21" i="5"/>
  <c r="R21" i="4"/>
  <c r="M22" i="5"/>
  <c r="O22" i="5"/>
  <c r="N22" i="5"/>
  <c r="P22" i="5"/>
  <c r="R22" i="4"/>
  <c r="M23" i="5"/>
  <c r="O23" i="5"/>
  <c r="N23" i="5"/>
  <c r="P23" i="5"/>
  <c r="R23" i="4"/>
  <c r="M24" i="5"/>
  <c r="O24" i="5"/>
  <c r="N24" i="5"/>
  <c r="P24" i="5"/>
  <c r="R24" i="4"/>
  <c r="M25" i="5"/>
  <c r="O25" i="5"/>
  <c r="N25" i="5"/>
  <c r="P25" i="5"/>
  <c r="R25" i="4"/>
  <c r="M26" i="5"/>
  <c r="O26" i="5"/>
  <c r="N26" i="5"/>
  <c r="P26" i="5"/>
  <c r="R26" i="4"/>
  <c r="M27" i="5"/>
  <c r="O27" i="5"/>
  <c r="N27" i="5"/>
  <c r="P27" i="5"/>
  <c r="R27" i="4"/>
  <c r="M28" i="5"/>
  <c r="O28" i="5"/>
  <c r="N28" i="5"/>
  <c r="P28" i="5"/>
  <c r="R28" i="4"/>
  <c r="M29" i="5"/>
  <c r="O29" i="5"/>
  <c r="N29" i="5"/>
  <c r="P29" i="5"/>
  <c r="R29" i="4"/>
  <c r="M30" i="5"/>
  <c r="O30" i="5"/>
  <c r="N30" i="5"/>
  <c r="P30" i="5"/>
  <c r="R30" i="4"/>
  <c r="M31" i="5"/>
  <c r="O31" i="5"/>
  <c r="N31" i="5"/>
  <c r="P31" i="5"/>
  <c r="R31" i="4"/>
  <c r="M32" i="5"/>
  <c r="O32" i="5"/>
  <c r="N32" i="5"/>
  <c r="P32" i="5"/>
  <c r="R32" i="4"/>
  <c r="M33" i="5"/>
  <c r="O33" i="5"/>
  <c r="N33" i="5"/>
  <c r="P33" i="5"/>
  <c r="R33" i="4"/>
  <c r="M34" i="5"/>
  <c r="O34" i="5"/>
  <c r="N34" i="5"/>
  <c r="P34" i="5"/>
  <c r="R34" i="4"/>
  <c r="M35" i="5"/>
  <c r="O35" i="5"/>
  <c r="N35" i="5"/>
  <c r="P35" i="5"/>
  <c r="R35" i="4"/>
  <c r="M36" i="5"/>
  <c r="O36" i="5"/>
  <c r="N36" i="5"/>
  <c r="P36" i="5"/>
  <c r="R36" i="4"/>
  <c r="M37" i="5"/>
  <c r="O37" i="5"/>
  <c r="N37" i="5"/>
  <c r="P37" i="5"/>
  <c r="R37" i="4"/>
  <c r="M38" i="5"/>
  <c r="O38" i="5"/>
  <c r="N38" i="5"/>
  <c r="P38" i="5"/>
  <c r="R38" i="4"/>
  <c r="M39" i="5"/>
  <c r="O39" i="5"/>
  <c r="N39" i="5"/>
  <c r="P39" i="5"/>
  <c r="R39" i="4"/>
  <c r="M40" i="5"/>
  <c r="O40" i="5"/>
  <c r="N40" i="5"/>
  <c r="P40" i="5"/>
  <c r="R40" i="4"/>
  <c r="M41" i="5"/>
  <c r="O41" i="5"/>
  <c r="N41" i="5"/>
  <c r="P41" i="5"/>
  <c r="R41" i="4"/>
  <c r="M42" i="5"/>
  <c r="O42" i="5"/>
  <c r="N42" i="5"/>
  <c r="P42" i="5"/>
  <c r="R42" i="4"/>
  <c r="M43" i="5"/>
  <c r="O43" i="5"/>
  <c r="N43" i="5"/>
  <c r="P43" i="5"/>
  <c r="R43" i="4"/>
  <c r="M44" i="5"/>
  <c r="O44" i="5"/>
  <c r="N44" i="5"/>
  <c r="P44" i="5"/>
  <c r="R44" i="4"/>
  <c r="M45" i="5"/>
  <c r="O45" i="5"/>
  <c r="N45" i="5"/>
  <c r="P45" i="5"/>
  <c r="R45" i="4"/>
  <c r="M46" i="5"/>
  <c r="O46" i="5"/>
  <c r="N46" i="5"/>
  <c r="P46" i="5"/>
  <c r="R46" i="4"/>
  <c r="M47" i="5"/>
  <c r="O47" i="5"/>
  <c r="N47" i="5"/>
  <c r="P47" i="5"/>
  <c r="R47" i="4"/>
  <c r="M48" i="5"/>
  <c r="O48" i="5"/>
  <c r="N48" i="5"/>
  <c r="P48" i="5"/>
  <c r="R48" i="4"/>
  <c r="M49" i="5"/>
  <c r="O49" i="5"/>
  <c r="N49" i="5"/>
  <c r="P49" i="5"/>
  <c r="R49" i="4"/>
  <c r="M50" i="5"/>
  <c r="O50" i="5"/>
  <c r="N50" i="5"/>
  <c r="P50" i="5"/>
  <c r="R50" i="4"/>
  <c r="M51" i="5"/>
  <c r="O51" i="5"/>
  <c r="N51" i="5"/>
  <c r="P51" i="5"/>
  <c r="R51" i="4"/>
  <c r="M52" i="5"/>
  <c r="O52" i="5"/>
  <c r="N52" i="5"/>
  <c r="P52" i="5"/>
  <c r="R52" i="4"/>
  <c r="M53" i="5"/>
  <c r="O53" i="5"/>
  <c r="N53" i="5"/>
  <c r="P53" i="5"/>
  <c r="R53" i="4"/>
  <c r="M54" i="5"/>
  <c r="O54" i="5"/>
  <c r="N54" i="5"/>
  <c r="P54" i="5"/>
  <c r="R54" i="4"/>
  <c r="M55" i="5"/>
  <c r="O55" i="5"/>
  <c r="N55" i="5"/>
  <c r="P55" i="5"/>
  <c r="R55" i="4"/>
  <c r="M56" i="5"/>
  <c r="O56" i="5"/>
  <c r="N56" i="5"/>
  <c r="P56" i="5"/>
  <c r="R56" i="4"/>
  <c r="M57" i="5"/>
  <c r="O57" i="5"/>
  <c r="N57" i="5"/>
  <c r="P57" i="5"/>
  <c r="R57" i="4"/>
  <c r="M58" i="5"/>
  <c r="O58" i="5"/>
  <c r="N58" i="5"/>
  <c r="P58" i="5"/>
  <c r="R58" i="4"/>
  <c r="M59" i="5"/>
  <c r="O59" i="5"/>
  <c r="N59" i="5"/>
  <c r="P59" i="5"/>
  <c r="R59" i="4"/>
  <c r="M60" i="5"/>
  <c r="O60" i="5"/>
  <c r="N60" i="5"/>
  <c r="P60" i="5"/>
  <c r="R60" i="4"/>
  <c r="M61" i="5"/>
  <c r="O61" i="5"/>
  <c r="N61" i="5"/>
  <c r="P61" i="5"/>
  <c r="R61" i="4"/>
  <c r="M62" i="5"/>
  <c r="O62" i="5"/>
  <c r="N62" i="5"/>
  <c r="P62" i="5"/>
  <c r="R62" i="4"/>
  <c r="M63" i="5"/>
  <c r="O63" i="5"/>
  <c r="N63" i="5"/>
  <c r="P63" i="5"/>
  <c r="R63" i="4"/>
  <c r="M64" i="5"/>
  <c r="O64" i="5"/>
  <c r="N64" i="5"/>
  <c r="P64" i="5"/>
  <c r="R64" i="4"/>
  <c r="M65" i="5"/>
  <c r="O65" i="5"/>
  <c r="N65" i="5"/>
  <c r="P65" i="5"/>
  <c r="R65" i="4"/>
  <c r="M66" i="5"/>
  <c r="O66" i="5"/>
  <c r="N66" i="5"/>
  <c r="P66" i="5"/>
  <c r="R66" i="4"/>
  <c r="M67" i="5"/>
  <c r="O67" i="5"/>
  <c r="N67" i="5"/>
  <c r="P67" i="5"/>
  <c r="R67" i="4"/>
  <c r="M68" i="5"/>
  <c r="O68" i="5"/>
  <c r="N68" i="5"/>
  <c r="P68" i="5"/>
  <c r="R68" i="4"/>
  <c r="M69" i="5"/>
  <c r="O69" i="5"/>
  <c r="N69" i="5"/>
  <c r="P69" i="5"/>
  <c r="R69" i="4"/>
  <c r="M70" i="5"/>
  <c r="O70" i="5"/>
  <c r="N70" i="5"/>
  <c r="P70" i="5"/>
  <c r="R70" i="4"/>
  <c r="M71" i="5"/>
  <c r="O71" i="5"/>
  <c r="N71" i="5"/>
  <c r="P71" i="5"/>
  <c r="R71" i="4"/>
  <c r="M72" i="5"/>
  <c r="O72" i="5"/>
  <c r="N72" i="5"/>
  <c r="P72" i="5"/>
  <c r="R72" i="4"/>
  <c r="M73" i="5"/>
  <c r="O73" i="5"/>
  <c r="N73" i="5"/>
  <c r="P73" i="5"/>
  <c r="R73" i="4"/>
  <c r="M74" i="5"/>
  <c r="O74" i="5"/>
  <c r="N74" i="5"/>
  <c r="P74" i="5"/>
  <c r="R74" i="4"/>
  <c r="M75" i="5"/>
  <c r="O75" i="5"/>
  <c r="N75" i="5"/>
  <c r="P75" i="5"/>
  <c r="R75" i="4"/>
  <c r="M76" i="5"/>
  <c r="O76" i="5"/>
  <c r="N76" i="5"/>
  <c r="P76" i="5"/>
  <c r="R76" i="4"/>
  <c r="M77" i="5"/>
  <c r="O77" i="5"/>
  <c r="N77" i="5"/>
  <c r="P77" i="5"/>
  <c r="R77" i="4"/>
  <c r="M78" i="5"/>
  <c r="O78" i="5"/>
  <c r="N78" i="5"/>
  <c r="P78" i="5"/>
  <c r="R78" i="4"/>
  <c r="M79" i="5"/>
  <c r="O79" i="5"/>
  <c r="N79" i="5"/>
  <c r="P79" i="5"/>
  <c r="R79" i="4"/>
  <c r="M80" i="5"/>
  <c r="O80" i="5"/>
  <c r="N80" i="5"/>
  <c r="P80" i="5"/>
  <c r="R80" i="4"/>
  <c r="M81" i="5"/>
  <c r="O81" i="5"/>
  <c r="N81" i="5"/>
  <c r="P81" i="5"/>
  <c r="R81" i="4"/>
  <c r="M82" i="5"/>
  <c r="O82" i="5"/>
  <c r="N82" i="5"/>
  <c r="P82" i="5"/>
  <c r="R82" i="4"/>
  <c r="M83" i="5"/>
  <c r="O83" i="5"/>
  <c r="N83" i="5"/>
  <c r="P83" i="5"/>
  <c r="R83" i="4"/>
  <c r="M84" i="5"/>
  <c r="O84" i="5"/>
  <c r="N84" i="5"/>
  <c r="P84" i="5"/>
  <c r="R84" i="4"/>
  <c r="M85" i="5"/>
  <c r="O85" i="5"/>
  <c r="N85" i="5"/>
  <c r="P85" i="5"/>
  <c r="R85" i="4"/>
  <c r="M86" i="5"/>
  <c r="O86" i="5"/>
  <c r="N86" i="5"/>
  <c r="P86" i="5"/>
  <c r="R86" i="4"/>
  <c r="M87" i="5"/>
  <c r="O87" i="5"/>
  <c r="N87" i="5"/>
  <c r="P87" i="5"/>
  <c r="R87" i="4"/>
  <c r="M88" i="5"/>
  <c r="O88" i="5"/>
  <c r="N88" i="5"/>
  <c r="P88" i="5"/>
  <c r="R88" i="4"/>
  <c r="M89" i="5"/>
  <c r="O89" i="5"/>
  <c r="P89" i="5"/>
  <c r="R89" i="4"/>
  <c r="H4" i="5"/>
  <c r="I4" i="5"/>
  <c r="K4" i="5"/>
  <c r="M4" i="5"/>
  <c r="O4" i="5"/>
  <c r="N4" i="5"/>
  <c r="P4" i="5"/>
  <c r="R4" i="4"/>
  <c r="L5" i="5"/>
  <c r="L6" i="5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4" i="5"/>
  <c r="I89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D89" i="5"/>
  <c r="E89" i="5"/>
  <c r="G89" i="5"/>
  <c r="G4" i="5"/>
  <c r="D89" i="4"/>
  <c r="E89" i="4"/>
  <c r="G89" i="4"/>
  <c r="G4" i="4"/>
  <c r="J89" i="4"/>
  <c r="I89" i="4"/>
  <c r="G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L3" authorId="0" shapeId="0" xr:uid="{00000000-0006-0000-0200-000001000000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Using UDD assumption and formula from cdc methods article. Follow up on Elliot’s method</t>
        </r>
      </text>
    </comment>
    <comment ref="K4" authorId="0" shapeId="0" xr:uid="{00000000-0006-0000-0200-000002000000}">
      <text>
        <r>
          <rPr>
            <sz val="11"/>
            <color rgb="FF000000"/>
            <rFont val="Calibri"/>
            <family val="2"/>
          </rPr>
          <t xml:space="preserve">[Threaded comment]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Your version of Excel allows you to read this threaded comment; however, any edits to it will get removed if the file is opened in a newer version of Excel. Learn more: https://go.microsoft.com/fwlink/?linkid=870924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Comment:
</t>
        </r>
        <r>
          <rPr>
            <sz val="11"/>
            <color rgb="FF000000"/>
            <rFont val="Calibri"/>
            <family val="2"/>
          </rPr>
          <t xml:space="preserve">    Obtained from 2017 life table technical notes pg 81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K89" authorId="0" shapeId="0" xr:uid="{00000000-0006-0000-0300-000001000000}">
      <text>
        <r>
          <rPr>
            <sz val="11"/>
            <color rgb="FF000000"/>
            <rFont val="Calibri"/>
            <family val="2"/>
          </rPr>
          <t xml:space="preserve">[Threaded comment]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Your version of Excel allows you to read this threaded comment; however, any edits to it will get removed if the file is opened in a newer version of Excel. Learn more: https://go.microsoft.com/fwlink/?linkid=870924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Comment:
</t>
        </r>
        <r>
          <rPr>
            <sz val="11"/>
            <color rgb="FF000000"/>
            <rFont val="Calibri"/>
            <family val="2"/>
          </rPr>
          <t xml:space="preserve">    inserting end of table estimated from elliot’s paper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Multiple Cause of Death, 1999-2018" type="6" refreshedVersion="6" background="1" saveData="1">
    <textPr codePage="437" sourceFile="\\fs.wharton.upenn.edu\wharton_studentusers\glozano\Downloads\Multiple Cause of Death, 1999-2018.txt">
      <textFields count="6"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<sst xmlns="http://schemas.openxmlformats.org/spreadsheetml/2006/main" count="591" uniqueCount="338">
  <si>
    <t>100 and over</t>
  </si>
  <si>
    <t>Age (years)</t>
  </si>
  <si>
    <r>
      <t xml:space="preserve">Probability of dying between ages </t>
    </r>
    <r>
      <rPr>
        <i/>
        <sz val="10"/>
        <rFont val="Courier New"/>
        <family val="3"/>
      </rPr>
      <t>x</t>
    </r>
    <r>
      <rPr>
        <sz val="10"/>
        <rFont val="Courier New"/>
        <family val="3"/>
      </rPr>
      <t xml:space="preserve"> and </t>
    </r>
    <r>
      <rPr>
        <i/>
        <sz val="10"/>
        <rFont val="Courier New"/>
        <family val="3"/>
      </rPr>
      <t>x</t>
    </r>
    <r>
      <rPr>
        <sz val="10"/>
        <rFont val="Courier New"/>
        <family val="3"/>
      </rPr>
      <t xml:space="preserve"> + 1</t>
    </r>
  </si>
  <si>
    <r>
      <t xml:space="preserve">Number surviving to age </t>
    </r>
    <r>
      <rPr>
        <i/>
        <sz val="10"/>
        <rFont val="Courier New"/>
        <family val="3"/>
      </rPr>
      <t>x</t>
    </r>
  </si>
  <si>
    <r>
      <t xml:space="preserve">Number dying between ages </t>
    </r>
    <r>
      <rPr>
        <i/>
        <sz val="10"/>
        <rFont val="Courier New"/>
        <family val="3"/>
      </rPr>
      <t>x</t>
    </r>
    <r>
      <rPr>
        <sz val="10"/>
        <rFont val="Courier New"/>
        <family val="3"/>
      </rPr>
      <t xml:space="preserve"> and </t>
    </r>
    <r>
      <rPr>
        <i/>
        <sz val="10"/>
        <rFont val="Courier New"/>
        <family val="3"/>
      </rPr>
      <t>x</t>
    </r>
    <r>
      <rPr>
        <sz val="10"/>
        <rFont val="Courier New"/>
        <family val="3"/>
      </rPr>
      <t xml:space="preserve"> + 1</t>
    </r>
  </si>
  <si>
    <r>
      <t xml:space="preserve">Person-years lived between ages </t>
    </r>
    <r>
      <rPr>
        <i/>
        <sz val="10"/>
        <rFont val="Courier New"/>
        <family val="3"/>
      </rPr>
      <t>x</t>
    </r>
    <r>
      <rPr>
        <sz val="10"/>
        <rFont val="Courier New"/>
        <family val="3"/>
      </rPr>
      <t xml:space="preserve"> and </t>
    </r>
    <r>
      <rPr>
        <i/>
        <sz val="10"/>
        <rFont val="Courier New"/>
        <family val="3"/>
      </rPr>
      <t>x</t>
    </r>
    <r>
      <rPr>
        <sz val="10"/>
        <rFont val="Courier New"/>
        <family val="3"/>
      </rPr>
      <t xml:space="preserve"> + 1</t>
    </r>
  </si>
  <si>
    <r>
      <t xml:space="preserve">Total number of person-years lived above age </t>
    </r>
    <r>
      <rPr>
        <i/>
        <sz val="10"/>
        <rFont val="Courier New"/>
        <family val="3"/>
      </rPr>
      <t>x</t>
    </r>
  </si>
  <si>
    <r>
      <t xml:space="preserve">Expectation of life at age </t>
    </r>
    <r>
      <rPr>
        <i/>
        <sz val="10"/>
        <rFont val="Courier New"/>
        <family val="3"/>
      </rPr>
      <t>x</t>
    </r>
  </si>
  <si>
    <t>SOURCE: NCHS, National Vital Statistics System, Mortality.</t>
  </si>
  <si>
    <r>
      <t>q</t>
    </r>
    <r>
      <rPr>
        <i/>
        <vertAlign val="subscript"/>
        <sz val="10"/>
        <rFont val="Courier New"/>
        <family val="3"/>
      </rPr>
      <t>x</t>
    </r>
  </si>
  <si>
    <r>
      <t>l</t>
    </r>
    <r>
      <rPr>
        <i/>
        <vertAlign val="subscript"/>
        <sz val="10"/>
        <rFont val="Courier New"/>
        <family val="3"/>
      </rPr>
      <t>x</t>
    </r>
  </si>
  <si>
    <r>
      <t>d</t>
    </r>
    <r>
      <rPr>
        <i/>
        <vertAlign val="subscript"/>
        <sz val="10"/>
        <rFont val="Courier New"/>
        <family val="3"/>
      </rPr>
      <t>x</t>
    </r>
  </si>
  <si>
    <r>
      <t>L</t>
    </r>
    <r>
      <rPr>
        <i/>
        <vertAlign val="subscript"/>
        <sz val="10"/>
        <rFont val="Courier New"/>
        <family val="3"/>
      </rPr>
      <t>x</t>
    </r>
  </si>
  <si>
    <r>
      <t>T</t>
    </r>
    <r>
      <rPr>
        <i/>
        <vertAlign val="subscript"/>
        <sz val="10"/>
        <rFont val="Courier New"/>
        <family val="3"/>
      </rPr>
      <t>x</t>
    </r>
  </si>
  <si>
    <r>
      <t>e</t>
    </r>
    <r>
      <rPr>
        <i/>
        <vertAlign val="subscript"/>
        <sz val="10"/>
        <rFont val="Courier New"/>
        <family val="3"/>
      </rPr>
      <t>x</t>
    </r>
  </si>
  <si>
    <t>Table 2. Life table for males: United States, 2017</t>
  </si>
  <si>
    <t>0–1</t>
  </si>
  <si>
    <t>1–2</t>
  </si>
  <si>
    <t>2–3</t>
  </si>
  <si>
    <t>3–4</t>
  </si>
  <si>
    <t>4–5</t>
  </si>
  <si>
    <t>5–6</t>
  </si>
  <si>
    <t>6–7</t>
  </si>
  <si>
    <t>7–8</t>
  </si>
  <si>
    <t>8–9</t>
  </si>
  <si>
    <t>9–10</t>
  </si>
  <si>
    <t>10–11</t>
  </si>
  <si>
    <t>11–12</t>
  </si>
  <si>
    <t>12–13</t>
  </si>
  <si>
    <t>13–14</t>
  </si>
  <si>
    <t>14–15</t>
  </si>
  <si>
    <t>15–16</t>
  </si>
  <si>
    <t>16–17</t>
  </si>
  <si>
    <t>17–18</t>
  </si>
  <si>
    <t>18–19</t>
  </si>
  <si>
    <t>19–20</t>
  </si>
  <si>
    <t>20–21</t>
  </si>
  <si>
    <t>21–22</t>
  </si>
  <si>
    <t>22–23</t>
  </si>
  <si>
    <t>23–24</t>
  </si>
  <si>
    <t>24–25</t>
  </si>
  <si>
    <t>25–26</t>
  </si>
  <si>
    <t>26–27</t>
  </si>
  <si>
    <t>27–28</t>
  </si>
  <si>
    <t>28–29</t>
  </si>
  <si>
    <t>29–30</t>
  </si>
  <si>
    <t>30–31</t>
  </si>
  <si>
    <t>31–32</t>
  </si>
  <si>
    <t>32–33</t>
  </si>
  <si>
    <t>33–34</t>
  </si>
  <si>
    <t>34–35</t>
  </si>
  <si>
    <t>35–36</t>
  </si>
  <si>
    <t>36–37</t>
  </si>
  <si>
    <t>37–38</t>
  </si>
  <si>
    <t>38–39</t>
  </si>
  <si>
    <t>39–40</t>
  </si>
  <si>
    <t>40–41</t>
  </si>
  <si>
    <t>41–42</t>
  </si>
  <si>
    <t>42–43</t>
  </si>
  <si>
    <t>43–44</t>
  </si>
  <si>
    <t>44–45</t>
  </si>
  <si>
    <t>45–46</t>
  </si>
  <si>
    <t>46–47</t>
  </si>
  <si>
    <t>47–48</t>
  </si>
  <si>
    <t>48–49</t>
  </si>
  <si>
    <t>49–50</t>
  </si>
  <si>
    <t>50–51</t>
  </si>
  <si>
    <t>51–52</t>
  </si>
  <si>
    <t>52–53</t>
  </si>
  <si>
    <t>53–54</t>
  </si>
  <si>
    <t>54–55</t>
  </si>
  <si>
    <t>55–56</t>
  </si>
  <si>
    <t>56–57</t>
  </si>
  <si>
    <t>57–58</t>
  </si>
  <si>
    <t>58–59</t>
  </si>
  <si>
    <t>59–60</t>
  </si>
  <si>
    <t>60–61</t>
  </si>
  <si>
    <t>61–62</t>
  </si>
  <si>
    <t>62–63</t>
  </si>
  <si>
    <t>63–64</t>
  </si>
  <si>
    <t>64–65</t>
  </si>
  <si>
    <t>65–66</t>
  </si>
  <si>
    <t>66–67</t>
  </si>
  <si>
    <t>67–68</t>
  </si>
  <si>
    <t>68–69</t>
  </si>
  <si>
    <t>69–70</t>
  </si>
  <si>
    <t>70–71</t>
  </si>
  <si>
    <t>71–72</t>
  </si>
  <si>
    <t>72–73</t>
  </si>
  <si>
    <t>73–74</t>
  </si>
  <si>
    <t>74–75</t>
  </si>
  <si>
    <t>75–76</t>
  </si>
  <si>
    <t>76–77</t>
  </si>
  <si>
    <t>77–78</t>
  </si>
  <si>
    <t>78–79</t>
  </si>
  <si>
    <t>79–80</t>
  </si>
  <si>
    <t>80–81</t>
  </si>
  <si>
    <t>81–82</t>
  </si>
  <si>
    <t>82–83</t>
  </si>
  <si>
    <t>83–84</t>
  </si>
  <si>
    <t>84–85</t>
  </si>
  <si>
    <t>85–86</t>
  </si>
  <si>
    <t>86–87</t>
  </si>
  <si>
    <t>87–88</t>
  </si>
  <si>
    <t>88–89</t>
  </si>
  <si>
    <t>89–90</t>
  </si>
  <si>
    <t>90–91</t>
  </si>
  <si>
    <t>91–92</t>
  </si>
  <si>
    <t>92–93</t>
  </si>
  <si>
    <t>93–94</t>
  </si>
  <si>
    <t>94–95</t>
  </si>
  <si>
    <t>95–96</t>
  </si>
  <si>
    <t>96–97</t>
  </si>
  <si>
    <t>97–98</t>
  </si>
  <si>
    <t>98–99</t>
  </si>
  <si>
    <t>99–100</t>
  </si>
  <si>
    <t>Single-Year Ages</t>
  </si>
  <si>
    <t>Single-Year Ages Code</t>
  </si>
  <si>
    <t>Deaths</t>
  </si>
  <si>
    <t>Population</t>
  </si>
  <si>
    <t>Crude Rate</t>
  </si>
  <si>
    <t>&lt; 1 year</t>
  </si>
  <si>
    <t>Unreliable</t>
  </si>
  <si>
    <t>1 year</t>
  </si>
  <si>
    <t>2 years</t>
  </si>
  <si>
    <t>3 years</t>
  </si>
  <si>
    <t>4 years</t>
  </si>
  <si>
    <t>5 years</t>
  </si>
  <si>
    <t>6 years</t>
  </si>
  <si>
    <t>7 years</t>
  </si>
  <si>
    <t>8 years</t>
  </si>
  <si>
    <t>9 years</t>
  </si>
  <si>
    <t>10 years</t>
  </si>
  <si>
    <t>11 years</t>
  </si>
  <si>
    <t>12 years</t>
  </si>
  <si>
    <t>13 years</t>
  </si>
  <si>
    <t>14 years</t>
  </si>
  <si>
    <t>15 years</t>
  </si>
  <si>
    <t>16 years</t>
  </si>
  <si>
    <t>17 years</t>
  </si>
  <si>
    <t>18 years</t>
  </si>
  <si>
    <t>19 years</t>
  </si>
  <si>
    <t>20 years</t>
  </si>
  <si>
    <t>21 years</t>
  </si>
  <si>
    <t>22 years</t>
  </si>
  <si>
    <t>23 years</t>
  </si>
  <si>
    <t>24 years</t>
  </si>
  <si>
    <t>25 years</t>
  </si>
  <si>
    <t>26 years</t>
  </si>
  <si>
    <t>27 years</t>
  </si>
  <si>
    <t>28 years</t>
  </si>
  <si>
    <t>29 years</t>
  </si>
  <si>
    <t>30 years</t>
  </si>
  <si>
    <t>31 years</t>
  </si>
  <si>
    <t>32 years</t>
  </si>
  <si>
    <t>33 years</t>
  </si>
  <si>
    <t>34 years</t>
  </si>
  <si>
    <t>35 years</t>
  </si>
  <si>
    <t>36 years</t>
  </si>
  <si>
    <t>37 years</t>
  </si>
  <si>
    <t>38 years</t>
  </si>
  <si>
    <t>39 years</t>
  </si>
  <si>
    <t>40 years</t>
  </si>
  <si>
    <t>41 years</t>
  </si>
  <si>
    <t>42 years</t>
  </si>
  <si>
    <t>43 years</t>
  </si>
  <si>
    <t>44 years</t>
  </si>
  <si>
    <t>45 years</t>
  </si>
  <si>
    <t>46 years</t>
  </si>
  <si>
    <t>47 years</t>
  </si>
  <si>
    <t>48 years</t>
  </si>
  <si>
    <t>49 years</t>
  </si>
  <si>
    <t>50 years</t>
  </si>
  <si>
    <t>51 years</t>
  </si>
  <si>
    <t>52 years</t>
  </si>
  <si>
    <t>53 years</t>
  </si>
  <si>
    <t>54 years</t>
  </si>
  <si>
    <t>55 years</t>
  </si>
  <si>
    <t>56 years</t>
  </si>
  <si>
    <t>57 years</t>
  </si>
  <si>
    <t>58 years</t>
  </si>
  <si>
    <t>59 years</t>
  </si>
  <si>
    <t>60 years</t>
  </si>
  <si>
    <t>61 years</t>
  </si>
  <si>
    <t>62 years</t>
  </si>
  <si>
    <t>63 years</t>
  </si>
  <si>
    <t>64 years</t>
  </si>
  <si>
    <t>65 years</t>
  </si>
  <si>
    <t>66 years</t>
  </si>
  <si>
    <t>67 years</t>
  </si>
  <si>
    <t>68 years</t>
  </si>
  <si>
    <t>69 years</t>
  </si>
  <si>
    <t>70 years</t>
  </si>
  <si>
    <t>71 years</t>
  </si>
  <si>
    <t>72 years</t>
  </si>
  <si>
    <t>73 years</t>
  </si>
  <si>
    <t>74 years</t>
  </si>
  <si>
    <t>75 years</t>
  </si>
  <si>
    <t>76 years</t>
  </si>
  <si>
    <t>77 years</t>
  </si>
  <si>
    <t>78 years</t>
  </si>
  <si>
    <t>79 years</t>
  </si>
  <si>
    <t>80 years</t>
  </si>
  <si>
    <t>81 years</t>
  </si>
  <si>
    <t>82 years</t>
  </si>
  <si>
    <t>83 years</t>
  </si>
  <si>
    <t>84 years</t>
  </si>
  <si>
    <t>85 years</t>
  </si>
  <si>
    <t>Not Applicable</t>
  </si>
  <si>
    <t>86 years</t>
  </si>
  <si>
    <t>87 years</t>
  </si>
  <si>
    <t>88 years</t>
  </si>
  <si>
    <t>89 years</t>
  </si>
  <si>
    <t>90 years</t>
  </si>
  <si>
    <t>91 years</t>
  </si>
  <si>
    <t>92 years</t>
  </si>
  <si>
    <t>93 years</t>
  </si>
  <si>
    <t>94 years</t>
  </si>
  <si>
    <t>95 years</t>
  </si>
  <si>
    <t>96 years</t>
  </si>
  <si>
    <t>97 years</t>
  </si>
  <si>
    <t>98 years</t>
  </si>
  <si>
    <t>99 years</t>
  </si>
  <si>
    <t>100+ years</t>
  </si>
  <si>
    <t>Not Stated</t>
  </si>
  <si>
    <t>NS</t>
  </si>
  <si>
    <t>Notes</t>
  </si>
  <si>
    <t>Total</t>
  </si>
  <si>
    <t>---</t>
  </si>
  <si>
    <t>Dataset: Multiple Cause of Death, 1999-2018</t>
  </si>
  <si>
    <t>Query Parameters:</t>
  </si>
  <si>
    <t>Gender: Male</t>
  </si>
  <si>
    <t>MCD - ICD-10 Codes: T40.0 (Opium); T40.1 (Heroin); T40.2 (Other opioids); T40.3 (Methadone); T40.4 (Other synthetic narcotics);</t>
  </si>
  <si>
    <t>T40.6 (Other and unspecified narcotics)</t>
  </si>
  <si>
    <t>UCD - Drug/Alcohol Induced Causes: Drug poisonings (overdose) Unintentional (X40-X44); Drug poisonings (overdose) Suicide</t>
  </si>
  <si>
    <t>(X60-X64); Drug poisonings (overdose) Homicide (X85); Drug poisonings (overdose) Undetermined (Y10-Y14)</t>
  </si>
  <si>
    <t>Year/Month: 2017</t>
  </si>
  <si>
    <t>Group By: Single-Year Ages</t>
  </si>
  <si>
    <t>Show Totals: True</t>
  </si>
  <si>
    <t>Show Zero Values: True</t>
  </si>
  <si>
    <t>Show Suppressed: False</t>
  </si>
  <si>
    <t>Calculate Rates Per: 100,000</t>
  </si>
  <si>
    <t>Rate Options: Default intercensal populations for years 2001-2009 (except Infant Age Groups)</t>
  </si>
  <si>
    <t>Help: See http://wonder.cdc.gov/wonder/help/mcd.html for more information.</t>
  </si>
  <si>
    <t>Query Date: Feb 27, 2020 5:24:57 PM</t>
  </si>
  <si>
    <t>Suggested Citation: Centers for Disease Control and Prevention, National Center for Health Statistics. Multiple Cause of Death</t>
  </si>
  <si>
    <t>1999-2018 on CDC WONDER Online Database, released in 2020. Data are from the Multiple Cause of Death Files, 1999-2018, as</t>
  </si>
  <si>
    <t>compiled from data provided by the 57 vital statistics jurisdictions through the Vital Statistics Cooperative Program. Accessed</t>
  </si>
  <si>
    <t>at http://wonder.cdc.gov/mcd-icd10.html on Feb 27, 2020 5:24:57 PM</t>
  </si>
  <si>
    <t>Caveats:</t>
  </si>
  <si>
    <t>1. Population and rates are labeled 'Not Applicable' when they include a subset of ages 85-100+ because populations are not</t>
  </si>
  <si>
    <t>available for those ages. More information: http://wonder.cdc.gov/wonder/help/mcd.html#Ages 85-100.</t>
  </si>
  <si>
    <t>2. Death rates are flagged as Unreliable when the rate is calculated with a numerator of 20 or less. More information:</t>
  </si>
  <si>
    <t>http://wonder.cdc.gov/wonder/help/mcd.html#Unreliable.</t>
  </si>
  <si>
    <t>3. Deaths of persons with Age "Not Stated" are included in "All" counts and rates, but are not distributed among age groups,</t>
  </si>
  <si>
    <t>so are not included in age-specific counts, age-specific rates or in any age-adjusted rates. More information:</t>
  </si>
  <si>
    <t>http://wonder.cdc.gov/wonder/help/mcd.html#Not Stated.</t>
  </si>
  <si>
    <t>4. The population figures for year 2018 are bridged-race estimates of the July 1 resident population, from the Vintage 2018</t>
  </si>
  <si>
    <t>postcensal series released by NCHS on June 25, 2019. The population figures for year 2017 are bridged-race estimates of the July</t>
  </si>
  <si>
    <t>1 resident population, from the Vintage 2017 postcensal series released by NCHS on June 27, 2018. The population figures for</t>
  </si>
  <si>
    <t>year 2016 are bridged-race estimates of the July 1 resident population, from the Vintage 2016 postcensal series released by NCHS</t>
  </si>
  <si>
    <t>on June 26, 2017. The population figures for year 2015 are bridged-race estimates of the July 1 resident population, from the</t>
  </si>
  <si>
    <t>Vintage 2015 postcensal series released by NCHS on June 28, 2016. The population figures for year 2014 are bridged-race</t>
  </si>
  <si>
    <t>estimates of the July 1 resident population, from the Vintage 2014 postcensal series released by NCHS on June 30, 2015. The</t>
  </si>
  <si>
    <t>population figures for year 2013 are bridged-race estimates of the July 1 resident population, from the Vintage 2013 postcensal</t>
  </si>
  <si>
    <t>series released by NCHS on June 26, 2014. The population figures for year 2012 are bridged-race estimates of the July 1 resident</t>
  </si>
  <si>
    <t>population, from the Vintage 2012 postcensal series released by NCHS on June 13, 2013. Population figures for 2011 are</t>
  </si>
  <si>
    <t>bridged-race estimates of the July 1 resident population, from the county-level postcensal Vintage 2011 series released by NCHS</t>
  </si>
  <si>
    <t>on July 18, 2012. Population figures for 2010 are April 1 Census counts. The population figures for years 2001 - 2009, are</t>
  </si>
  <si>
    <t>bridged-race estimates of the July 1 resident population, from the revised intercensal county-level 2000 - 2009 series released</t>
  </si>
  <si>
    <t>by NCHS on October 26, 2012. Population figures for 2000 are April 1 Census counts. Population figures for 1999 are from the</t>
  </si>
  <si>
    <t>1990-1999 intercensal series of July 1 estimates. Population figures for Infant Age Groups are the number of live births.</t>
  </si>
  <si>
    <t>&lt;br/&gt;&lt;b&gt;Note:&lt;/b&gt; Rates and population figures for years 2001 - 2009 differ slightly from previously published reports, due to</t>
  </si>
  <si>
    <t>use of the population estimates which were available at the time of release.</t>
  </si>
  <si>
    <t>5. The population figures used in the calculation of death rates for the age group 'under 1 year' are the estimates of the</t>
  </si>
  <si>
    <t>resident population that is under one year of age. More information: http://wonder.cdc.gov/wonder/help/mcd.html#Age Group.</t>
  </si>
  <si>
    <t>6. Changes to cause of death classification affect reporting trends. More information:</t>
  </si>
  <si>
    <t>http://wonder.cdc.gov/wonder/help/mcd.html#ICD-10 Changes.</t>
  </si>
  <si>
    <t>Crude Rate Incl. Unreliable</t>
  </si>
  <si>
    <t>Crude Rate w/ 85+ group</t>
  </si>
  <si>
    <t>85+ Population</t>
  </si>
  <si>
    <t>Group deaths</t>
  </si>
  <si>
    <t>Group Crude Rate</t>
  </si>
  <si>
    <r>
      <t>q</t>
    </r>
    <r>
      <rPr>
        <i/>
        <vertAlign val="subscript"/>
        <sz val="10"/>
        <rFont val="Courier New"/>
        <family val="3"/>
      </rPr>
      <t>x =</t>
    </r>
    <r>
      <rPr>
        <i/>
        <sz val="10"/>
        <rFont val="Courier New"/>
        <family val="3"/>
      </rPr>
      <t xml:space="preserve"> q</t>
    </r>
    <r>
      <rPr>
        <i/>
        <vertAlign val="subscript"/>
        <sz val="10"/>
        <rFont val="Courier New"/>
        <family val="3"/>
      </rPr>
      <t>x</t>
    </r>
    <r>
      <rPr>
        <i/>
        <vertAlign val="superscript"/>
        <sz val="10"/>
        <rFont val="Cambria"/>
        <family val="1"/>
      </rPr>
      <t>(</t>
    </r>
    <r>
      <rPr>
        <vertAlign val="superscript"/>
        <sz val="10"/>
        <rFont val="Cambria"/>
        <family val="1"/>
      </rPr>
      <t>τ</t>
    </r>
    <r>
      <rPr>
        <i/>
        <vertAlign val="superscript"/>
        <sz val="10"/>
        <rFont val="Cambria"/>
        <family val="1"/>
      </rPr>
      <t>)</t>
    </r>
  </si>
  <si>
    <t>Dependent prob. of dying due to opioids between x and x + 1</t>
  </si>
  <si>
    <r>
      <t>q</t>
    </r>
    <r>
      <rPr>
        <i/>
        <vertAlign val="subscript"/>
        <sz val="10"/>
        <color theme="1"/>
        <rFont val="Calibri (Body)"/>
      </rPr>
      <t>x</t>
    </r>
    <r>
      <rPr>
        <i/>
        <vertAlign val="superscript"/>
        <sz val="10"/>
        <color theme="1"/>
        <rFont val="Calibri (Body)"/>
      </rPr>
      <t>(1)</t>
    </r>
  </si>
  <si>
    <t>Dependent prob. of dying not due to opioids between x and x + 1</t>
  </si>
  <si>
    <r>
      <t>q</t>
    </r>
    <r>
      <rPr>
        <i/>
        <vertAlign val="subscript"/>
        <sz val="10"/>
        <color theme="1"/>
        <rFont val="Calibri (Body)"/>
      </rPr>
      <t>x</t>
    </r>
    <r>
      <rPr>
        <i/>
        <vertAlign val="superscript"/>
        <sz val="10"/>
        <color theme="1"/>
        <rFont val="Calibri (Body)"/>
      </rPr>
      <t>(2)</t>
    </r>
  </si>
  <si>
    <t>85+</t>
  </si>
  <si>
    <t>Independent prob. of dying not due to opioids between x and x + 1</t>
  </si>
  <si>
    <r>
      <t>q</t>
    </r>
    <r>
      <rPr>
        <i/>
        <vertAlign val="subscript"/>
        <sz val="10"/>
        <color theme="1"/>
        <rFont val="Calibri (Body)"/>
      </rPr>
      <t>x</t>
    </r>
    <r>
      <rPr>
        <i/>
        <vertAlign val="superscript"/>
        <sz val="10"/>
        <color theme="1"/>
        <rFont val="Calibri (Body)"/>
      </rPr>
      <t>'(2)</t>
    </r>
  </si>
  <si>
    <r>
      <t xml:space="preserve">Modified number surviving to age </t>
    </r>
    <r>
      <rPr>
        <i/>
        <sz val="10"/>
        <color theme="1"/>
        <rFont val="Calibri"/>
        <family val="2"/>
        <scheme val="minor"/>
      </rPr>
      <t>x</t>
    </r>
  </si>
  <si>
    <r>
      <t>l</t>
    </r>
    <r>
      <rPr>
        <i/>
        <vertAlign val="subscript"/>
        <sz val="10"/>
        <color theme="1"/>
        <rFont val="Calibri"/>
        <family val="2"/>
        <scheme val="minor"/>
      </rPr>
      <t>x</t>
    </r>
    <r>
      <rPr>
        <i/>
        <sz val="10"/>
        <color theme="1"/>
        <rFont val="Calibri"/>
        <family val="2"/>
        <scheme val="minor"/>
      </rPr>
      <t>'</t>
    </r>
  </si>
  <si>
    <r>
      <t>d</t>
    </r>
    <r>
      <rPr>
        <i/>
        <vertAlign val="subscript"/>
        <sz val="10"/>
        <color theme="1"/>
        <rFont val="Calibri"/>
        <family val="2"/>
        <scheme val="minor"/>
      </rPr>
      <t>x</t>
    </r>
    <r>
      <rPr>
        <i/>
        <sz val="10"/>
        <color theme="1"/>
        <rFont val="Calibri"/>
        <family val="2"/>
        <scheme val="minor"/>
      </rPr>
      <t>'</t>
    </r>
  </si>
  <si>
    <r>
      <t xml:space="preserve">Modified number deaths between ages </t>
    </r>
    <r>
      <rPr>
        <i/>
        <sz val="10"/>
        <color theme="1"/>
        <rFont val="Calibri"/>
        <family val="2"/>
        <scheme val="minor"/>
      </rPr>
      <t>x</t>
    </r>
    <r>
      <rPr>
        <sz val="10"/>
        <color theme="1"/>
        <rFont val="Calibri"/>
        <family val="2"/>
        <scheme val="minor"/>
      </rPr>
      <t xml:space="preserve"> and </t>
    </r>
    <r>
      <rPr>
        <i/>
        <sz val="10"/>
        <color theme="1"/>
        <rFont val="Calibri"/>
        <family val="2"/>
        <scheme val="minor"/>
      </rPr>
      <t>x</t>
    </r>
    <r>
      <rPr>
        <sz val="10"/>
        <color theme="1"/>
        <rFont val="Calibri"/>
        <family val="2"/>
        <scheme val="minor"/>
      </rPr>
      <t xml:space="preserve"> + 1</t>
    </r>
  </si>
  <si>
    <t>Separation factor for Age x = 0</t>
  </si>
  <si>
    <t>f</t>
  </si>
  <si>
    <r>
      <t xml:space="preserve">Modified person-years lived between ages </t>
    </r>
    <r>
      <rPr>
        <i/>
        <sz val="10"/>
        <color theme="1"/>
        <rFont val="Calibri"/>
        <family val="2"/>
        <scheme val="minor"/>
      </rPr>
      <t>x</t>
    </r>
    <r>
      <rPr>
        <sz val="10"/>
        <color theme="1"/>
        <rFont val="Calibri"/>
        <family val="2"/>
        <scheme val="minor"/>
      </rPr>
      <t xml:space="preserve"> and </t>
    </r>
    <r>
      <rPr>
        <i/>
        <sz val="10"/>
        <color theme="1"/>
        <rFont val="Calibri"/>
        <family val="2"/>
        <scheme val="minor"/>
      </rPr>
      <t>x</t>
    </r>
    <r>
      <rPr>
        <sz val="10"/>
        <color theme="1"/>
        <rFont val="Calibri"/>
        <family val="2"/>
        <scheme val="minor"/>
      </rPr>
      <t xml:space="preserve"> + 1</t>
    </r>
  </si>
  <si>
    <r>
      <t>L</t>
    </r>
    <r>
      <rPr>
        <i/>
        <vertAlign val="subscript"/>
        <sz val="10"/>
        <color theme="1"/>
        <rFont val="Calibri"/>
        <family val="2"/>
        <scheme val="minor"/>
      </rPr>
      <t>x</t>
    </r>
    <r>
      <rPr>
        <i/>
        <sz val="10"/>
        <color theme="1"/>
        <rFont val="Calibri"/>
        <family val="2"/>
        <scheme val="minor"/>
      </rPr>
      <t>'</t>
    </r>
  </si>
  <si>
    <r>
      <t xml:space="preserve">Modified total number of person-years lived above age </t>
    </r>
    <r>
      <rPr>
        <i/>
        <sz val="10"/>
        <color theme="1"/>
        <rFont val="Calibri"/>
        <family val="2"/>
        <scheme val="minor"/>
      </rPr>
      <t>x</t>
    </r>
  </si>
  <si>
    <r>
      <t>T</t>
    </r>
    <r>
      <rPr>
        <i/>
        <vertAlign val="subscript"/>
        <sz val="10"/>
        <color theme="1"/>
        <rFont val="Calibri"/>
        <family val="2"/>
        <scheme val="minor"/>
      </rPr>
      <t>x</t>
    </r>
    <r>
      <rPr>
        <i/>
        <sz val="10"/>
        <color theme="1"/>
        <rFont val="Calibri"/>
        <family val="2"/>
        <scheme val="minor"/>
      </rPr>
      <t>'</t>
    </r>
  </si>
  <si>
    <r>
      <t xml:space="preserve">Modified expectation of life at age </t>
    </r>
    <r>
      <rPr>
        <i/>
        <sz val="10"/>
        <color theme="1"/>
        <rFont val="Calibri"/>
        <family val="2"/>
        <scheme val="minor"/>
      </rPr>
      <t>x</t>
    </r>
  </si>
  <si>
    <r>
      <t>e</t>
    </r>
    <r>
      <rPr>
        <i/>
        <vertAlign val="subscript"/>
        <sz val="10"/>
        <color theme="1"/>
        <rFont val="Calibri"/>
        <family val="2"/>
        <scheme val="minor"/>
      </rPr>
      <t>x</t>
    </r>
    <r>
      <rPr>
        <i/>
        <sz val="10"/>
        <color theme="1"/>
        <rFont val="Calibri"/>
        <family val="2"/>
        <scheme val="minor"/>
      </rPr>
      <t>'</t>
    </r>
  </si>
  <si>
    <t>Change in expectation of life after removing opioid mortality (yrs)</t>
  </si>
  <si>
    <t>Table 1. Life table for the total population: United States, 2017</t>
  </si>
  <si>
    <t xml:space="preserve">Average years lived of those who died </t>
  </si>
  <si>
    <t>Change in expectation of life after removing opioid mortality (days)</t>
  </si>
  <si>
    <t>NA</t>
  </si>
  <si>
    <t>Difference from cohort formula</t>
  </si>
  <si>
    <r>
      <t xml:space="preserve">Probability of dying between ages </t>
    </r>
    <r>
      <rPr>
        <i/>
        <sz val="10"/>
        <color theme="1"/>
        <rFont val="Courier New"/>
        <family val="3"/>
      </rPr>
      <t>x</t>
    </r>
    <r>
      <rPr>
        <sz val="10"/>
        <color theme="1"/>
        <rFont val="Courier New"/>
        <family val="3"/>
      </rPr>
      <t xml:space="preserve"> and </t>
    </r>
    <r>
      <rPr>
        <i/>
        <sz val="10"/>
        <color theme="1"/>
        <rFont val="Courier New"/>
        <family val="3"/>
      </rPr>
      <t>x</t>
    </r>
    <r>
      <rPr>
        <sz val="10"/>
        <color theme="1"/>
        <rFont val="Courier New"/>
        <family val="3"/>
      </rPr>
      <t xml:space="preserve"> + 1</t>
    </r>
  </si>
  <si>
    <r>
      <t xml:space="preserve">Modified number surviving to age </t>
    </r>
    <r>
      <rPr>
        <i/>
        <sz val="10"/>
        <color theme="1"/>
        <rFont val="Courier New"/>
        <family val="3"/>
      </rPr>
      <t>x</t>
    </r>
  </si>
  <si>
    <r>
      <t xml:space="preserve">Number dying between ages </t>
    </r>
    <r>
      <rPr>
        <i/>
        <sz val="10"/>
        <color theme="1"/>
        <rFont val="Courier New"/>
        <family val="3"/>
      </rPr>
      <t>x</t>
    </r>
    <r>
      <rPr>
        <sz val="10"/>
        <color theme="1"/>
        <rFont val="Courier New"/>
        <family val="3"/>
      </rPr>
      <t xml:space="preserve"> and </t>
    </r>
    <r>
      <rPr>
        <i/>
        <sz val="10"/>
        <color theme="1"/>
        <rFont val="Courier New"/>
        <family val="3"/>
      </rPr>
      <t>x</t>
    </r>
    <r>
      <rPr>
        <sz val="10"/>
        <color theme="1"/>
        <rFont val="Courier New"/>
        <family val="3"/>
      </rPr>
      <t xml:space="preserve"> + 1</t>
    </r>
  </si>
  <si>
    <r>
      <t xml:space="preserve">Number surviving to age </t>
    </r>
    <r>
      <rPr>
        <i/>
        <sz val="10"/>
        <color theme="1"/>
        <rFont val="Courier New"/>
        <family val="3"/>
      </rPr>
      <t>x</t>
    </r>
  </si>
  <si>
    <r>
      <t xml:space="preserve">Person-years lived between ages </t>
    </r>
    <r>
      <rPr>
        <i/>
        <sz val="10"/>
        <color theme="1"/>
        <rFont val="Courier New"/>
        <family val="3"/>
      </rPr>
      <t>x</t>
    </r>
    <r>
      <rPr>
        <sz val="10"/>
        <color theme="1"/>
        <rFont val="Courier New"/>
        <family val="3"/>
      </rPr>
      <t xml:space="preserve"> and </t>
    </r>
    <r>
      <rPr>
        <i/>
        <sz val="10"/>
        <color theme="1"/>
        <rFont val="Courier New"/>
        <family val="3"/>
      </rPr>
      <t>x</t>
    </r>
    <r>
      <rPr>
        <sz val="10"/>
        <color theme="1"/>
        <rFont val="Courier New"/>
        <family val="3"/>
      </rPr>
      <t xml:space="preserve"> + 1</t>
    </r>
  </si>
  <si>
    <r>
      <t xml:space="preserve">Modified person-years lived between ages </t>
    </r>
    <r>
      <rPr>
        <i/>
        <sz val="10"/>
        <color theme="1"/>
        <rFont val="Courier New"/>
        <family val="3"/>
      </rPr>
      <t>x</t>
    </r>
    <r>
      <rPr>
        <sz val="10"/>
        <color theme="1"/>
        <rFont val="Courier New"/>
        <family val="3"/>
      </rPr>
      <t xml:space="preserve"> and </t>
    </r>
    <r>
      <rPr>
        <i/>
        <sz val="10"/>
        <color theme="1"/>
        <rFont val="Courier New"/>
        <family val="3"/>
      </rPr>
      <t>x</t>
    </r>
    <r>
      <rPr>
        <sz val="10"/>
        <color theme="1"/>
        <rFont val="Courier New"/>
        <family val="3"/>
      </rPr>
      <t xml:space="preserve"> + 1</t>
    </r>
  </si>
  <si>
    <r>
      <t xml:space="preserve">Total number of person-years lived above age </t>
    </r>
    <r>
      <rPr>
        <i/>
        <sz val="10"/>
        <color theme="1"/>
        <rFont val="Courier New"/>
        <family val="3"/>
      </rPr>
      <t>x</t>
    </r>
  </si>
  <si>
    <r>
      <t xml:space="preserve">Modified total number of person-years lived above age </t>
    </r>
    <r>
      <rPr>
        <i/>
        <sz val="10"/>
        <color theme="1"/>
        <rFont val="Courier New"/>
        <family val="3"/>
      </rPr>
      <t>x</t>
    </r>
  </si>
  <si>
    <r>
      <t xml:space="preserve">Expectation of life at age </t>
    </r>
    <r>
      <rPr>
        <i/>
        <sz val="10"/>
        <color theme="1"/>
        <rFont val="Courier New"/>
        <family val="3"/>
      </rPr>
      <t>x</t>
    </r>
  </si>
  <si>
    <r>
      <t xml:space="preserve">Modified expectation of life at age </t>
    </r>
    <r>
      <rPr>
        <i/>
        <sz val="10"/>
        <color theme="1"/>
        <rFont val="Courier New"/>
        <family val="3"/>
      </rPr>
      <t>x</t>
    </r>
  </si>
  <si>
    <r>
      <t>q</t>
    </r>
    <r>
      <rPr>
        <i/>
        <vertAlign val="subscript"/>
        <sz val="10"/>
        <color theme="1"/>
        <rFont val="Courier New"/>
        <family val="3"/>
      </rPr>
      <t>x</t>
    </r>
    <r>
      <rPr>
        <i/>
        <sz val="10"/>
        <color theme="1"/>
        <rFont val="Courier New"/>
        <family val="3"/>
      </rPr>
      <t xml:space="preserve"> = q</t>
    </r>
    <r>
      <rPr>
        <i/>
        <vertAlign val="subscript"/>
        <sz val="10"/>
        <color theme="1"/>
        <rFont val="Courier New"/>
        <family val="3"/>
      </rPr>
      <t>x</t>
    </r>
    <r>
      <rPr>
        <i/>
        <vertAlign val="superscript"/>
        <sz val="10"/>
        <color theme="1"/>
        <rFont val="Courier New"/>
        <family val="3"/>
      </rPr>
      <t>(𝜏)</t>
    </r>
  </si>
  <si>
    <r>
      <t>q</t>
    </r>
    <r>
      <rPr>
        <i/>
        <vertAlign val="subscript"/>
        <sz val="10"/>
        <color theme="1"/>
        <rFont val="Courier New"/>
        <family val="3"/>
      </rPr>
      <t>x</t>
    </r>
    <r>
      <rPr>
        <i/>
        <vertAlign val="superscript"/>
        <sz val="10"/>
        <color theme="1"/>
        <rFont val="Courier New"/>
        <family val="3"/>
      </rPr>
      <t>(1)</t>
    </r>
  </si>
  <si>
    <r>
      <t>q</t>
    </r>
    <r>
      <rPr>
        <i/>
        <vertAlign val="subscript"/>
        <sz val="10"/>
        <color theme="1"/>
        <rFont val="Courier New"/>
        <family val="3"/>
      </rPr>
      <t>x</t>
    </r>
    <r>
      <rPr>
        <i/>
        <vertAlign val="superscript"/>
        <sz val="10"/>
        <color theme="1"/>
        <rFont val="Courier New"/>
        <family val="3"/>
      </rPr>
      <t>(2)</t>
    </r>
  </si>
  <si>
    <r>
      <t>q</t>
    </r>
    <r>
      <rPr>
        <i/>
        <vertAlign val="subscript"/>
        <sz val="10"/>
        <color theme="1"/>
        <rFont val="Courier New"/>
        <family val="3"/>
      </rPr>
      <t>x</t>
    </r>
    <r>
      <rPr>
        <i/>
        <vertAlign val="superscript"/>
        <sz val="10"/>
        <color theme="1"/>
        <rFont val="Courier New"/>
        <family val="3"/>
      </rPr>
      <t>'(2)</t>
    </r>
  </si>
  <si>
    <r>
      <t>l</t>
    </r>
    <r>
      <rPr>
        <i/>
        <vertAlign val="subscript"/>
        <sz val="10"/>
        <color theme="1"/>
        <rFont val="Courier New"/>
        <family val="3"/>
      </rPr>
      <t>x</t>
    </r>
    <r>
      <rPr>
        <i/>
        <sz val="10"/>
        <color theme="1"/>
        <rFont val="Courier New"/>
        <family val="3"/>
      </rPr>
      <t>'</t>
    </r>
  </si>
  <si>
    <r>
      <t>d</t>
    </r>
    <r>
      <rPr>
        <i/>
        <vertAlign val="subscript"/>
        <sz val="10"/>
        <color theme="1"/>
        <rFont val="Courier New"/>
        <family val="3"/>
      </rPr>
      <t>x</t>
    </r>
    <r>
      <rPr>
        <i/>
        <sz val="10"/>
        <color theme="1"/>
        <rFont val="Courier New"/>
        <family val="3"/>
      </rPr>
      <t>'</t>
    </r>
  </si>
  <si>
    <r>
      <t>l</t>
    </r>
    <r>
      <rPr>
        <i/>
        <vertAlign val="subscript"/>
        <sz val="10"/>
        <color theme="1"/>
        <rFont val="Courier New"/>
        <family val="3"/>
      </rPr>
      <t>x</t>
    </r>
  </si>
  <si>
    <r>
      <t>L</t>
    </r>
    <r>
      <rPr>
        <i/>
        <vertAlign val="subscript"/>
        <sz val="10"/>
        <color theme="1"/>
        <rFont val="Courier New"/>
        <family val="3"/>
      </rPr>
      <t>x</t>
    </r>
  </si>
  <si>
    <r>
      <rPr>
        <i/>
        <vertAlign val="subscript"/>
        <sz val="10"/>
        <color theme="1"/>
        <rFont val="Courier New"/>
        <family val="3"/>
      </rPr>
      <t>n</t>
    </r>
    <r>
      <rPr>
        <i/>
        <sz val="10"/>
        <color theme="1"/>
        <rFont val="Courier New"/>
        <family val="3"/>
      </rPr>
      <t>f</t>
    </r>
    <r>
      <rPr>
        <i/>
        <vertAlign val="subscript"/>
        <sz val="10"/>
        <color theme="1"/>
        <rFont val="Courier New"/>
        <family val="3"/>
      </rPr>
      <t>x</t>
    </r>
  </si>
  <si>
    <r>
      <t>L</t>
    </r>
    <r>
      <rPr>
        <i/>
        <vertAlign val="subscript"/>
        <sz val="10"/>
        <color theme="1"/>
        <rFont val="Courier New"/>
        <family val="3"/>
      </rPr>
      <t>x</t>
    </r>
    <r>
      <rPr>
        <i/>
        <sz val="10"/>
        <color theme="1"/>
        <rFont val="Courier New"/>
        <family val="3"/>
      </rPr>
      <t>'</t>
    </r>
  </si>
  <si>
    <r>
      <t>T</t>
    </r>
    <r>
      <rPr>
        <i/>
        <vertAlign val="subscript"/>
        <sz val="10"/>
        <color theme="1"/>
        <rFont val="Courier New"/>
        <family val="3"/>
      </rPr>
      <t>x</t>
    </r>
  </si>
  <si>
    <r>
      <t>T</t>
    </r>
    <r>
      <rPr>
        <i/>
        <vertAlign val="subscript"/>
        <sz val="10"/>
        <color theme="1"/>
        <rFont val="Courier New"/>
        <family val="3"/>
      </rPr>
      <t>x</t>
    </r>
    <r>
      <rPr>
        <i/>
        <sz val="10"/>
        <color theme="1"/>
        <rFont val="Courier New"/>
        <family val="3"/>
      </rPr>
      <t>'</t>
    </r>
  </si>
  <si>
    <r>
      <t>e</t>
    </r>
    <r>
      <rPr>
        <i/>
        <vertAlign val="subscript"/>
        <sz val="10"/>
        <color theme="1"/>
        <rFont val="Courier New"/>
        <family val="3"/>
      </rPr>
      <t>x</t>
    </r>
  </si>
  <si>
    <r>
      <t>e</t>
    </r>
    <r>
      <rPr>
        <i/>
        <vertAlign val="subscript"/>
        <sz val="10"/>
        <color theme="1"/>
        <rFont val="Courier New"/>
        <family val="3"/>
      </rPr>
      <t>x</t>
    </r>
    <r>
      <rPr>
        <i/>
        <sz val="10"/>
        <color theme="1"/>
        <rFont val="Courier New"/>
        <family val="3"/>
      </rPr>
      <t>'</t>
    </r>
  </si>
  <si>
    <r>
      <t>e</t>
    </r>
    <r>
      <rPr>
        <i/>
        <vertAlign val="subscript"/>
        <sz val="10"/>
        <color theme="1"/>
        <rFont val="Courier New"/>
        <family val="3"/>
      </rPr>
      <t>x</t>
    </r>
    <r>
      <rPr>
        <i/>
        <sz val="10"/>
        <color theme="1"/>
        <rFont val="Courier New"/>
        <family val="3"/>
      </rPr>
      <t>' - e</t>
    </r>
    <r>
      <rPr>
        <i/>
        <vertAlign val="subscript"/>
        <sz val="10"/>
        <color theme="1"/>
        <rFont val="Courier New"/>
        <family val="3"/>
      </rPr>
      <t>x</t>
    </r>
  </si>
  <si>
    <t>Max Change</t>
  </si>
  <si>
    <t>Age of Max Change</t>
  </si>
  <si>
    <r>
      <t>e</t>
    </r>
    <r>
      <rPr>
        <i/>
        <vertAlign val="subscript"/>
        <sz val="10"/>
        <color theme="1"/>
        <rFont val="Calibri"/>
        <family val="2"/>
        <scheme val="minor"/>
      </rPr>
      <t>x</t>
    </r>
    <r>
      <rPr>
        <i/>
        <sz val="10"/>
        <color theme="1"/>
        <rFont val="Calibri (Body)"/>
      </rPr>
      <t>'</t>
    </r>
    <r>
      <rPr>
        <i/>
        <sz val="10"/>
        <color theme="1"/>
        <rFont val="Calibri"/>
        <family val="2"/>
        <scheme val="minor"/>
      </rPr>
      <t xml:space="preserve"> - e</t>
    </r>
    <r>
      <rPr>
        <i/>
        <vertAlign val="subscript"/>
        <sz val="10"/>
        <color theme="1"/>
        <rFont val="Calibri (Body)"/>
      </rPr>
      <t>x</t>
    </r>
  </si>
  <si>
    <t>17-18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</si>
</sst>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(* #,##0.00_);_(* \(#,##0.00\);_(* &quot;-&quot;??_);_(@_)"/>
    <numFmt numFmtId="164" formatCode="0.000000"/>
    <numFmt numFmtId="165" formatCode="0.0"/>
    <numFmt numFmtId="166" formatCode="0.0000"/>
    <numFmt numFmtId="167" formatCode="_(* #,##0_);_(* \(#,##0\);_(* &quot;-&quot;??_);_(@_)"/>
    <numFmt numFmtId="168" formatCode="#,##0.000000"/>
    <numFmt numFmtId="169" formatCode="#,##0.000"/>
    <numFmt numFmtId="170" formatCode="0.00000000"/>
    <numFmt numFmtId="171" formatCode="0.000"/>
    <numFmt numFmtId="172" formatCode="0.000000000"/>
  </numFmts>
  <fonts count="2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color theme="1"/>
      <name val="Courier New"/>
      <family val="3"/>
    </font>
    <font>
      <sz val="10"/>
      <name val="Courier New"/>
      <family val="3"/>
    </font>
    <font>
      <i/>
      <sz val="10"/>
      <name val="Courier New"/>
      <family val="3"/>
    </font>
    <font>
      <sz val="10"/>
      <color rgb="FF000000"/>
      <name val="Courier New"/>
      <family val="3"/>
    </font>
    <font>
      <i/>
      <vertAlign val="subscript"/>
      <sz val="10"/>
      <name val="Courier New"/>
      <family val="3"/>
    </font>
    <font>
      <i/>
      <vertAlign val="superscript"/>
      <sz val="10"/>
      <name val="Cambria"/>
      <family val="1"/>
    </font>
    <font>
      <vertAlign val="superscript"/>
      <sz val="10"/>
      <name val="Cambria"/>
      <family val="1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vertAlign val="subscript"/>
      <sz val="10"/>
      <color theme="1"/>
      <name val="Calibri (Body)"/>
    </font>
    <font>
      <i/>
      <vertAlign val="superscript"/>
      <sz val="10"/>
      <color theme="1"/>
      <name val="Calibri (Body)"/>
    </font>
    <font>
      <sz val="11"/>
      <color theme="1"/>
      <name val="Calibri"/>
      <family val="2"/>
      <scheme val="minor"/>
    </font>
    <font>
      <i/>
      <vertAlign val="subscript"/>
      <sz val="1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ourier New"/>
      <family val="3"/>
    </font>
    <font>
      <i/>
      <sz val="10"/>
      <color theme="1"/>
      <name val="Courier New"/>
      <family val="3"/>
    </font>
    <font>
      <i/>
      <vertAlign val="subscript"/>
      <sz val="10"/>
      <color theme="1"/>
      <name val="Courier New"/>
      <family val="3"/>
    </font>
    <font>
      <i/>
      <vertAlign val="superscript"/>
      <sz val="10"/>
      <color theme="1"/>
      <name val="Courier New"/>
      <family val="3"/>
    </font>
    <font>
      <i/>
      <sz val="10"/>
      <color theme="1"/>
      <name val="Calibri (Body)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3" fontId="1" fillId="0" borderId="0"/>
    <xf numFmtId="43" fontId="13" fillId="0" borderId="0" applyFont="0" applyFill="0" applyBorder="0" applyAlignment="0" applyProtection="0"/>
  </cellStyleXfs>
  <cellXfs count="78">
    <xf numFmtId="0" fontId="0" fillId="0" borderId="0" xfId="0"/>
    <xf numFmtId="0" fontId="2" fillId="0" borderId="0" xfId="0" applyFont="1"/>
    <xf numFmtId="0" fontId="2" fillId="0" borderId="3" xfId="0" applyFont="1" applyBorder="1"/>
    <xf numFmtId="16" fontId="2" fillId="0" borderId="3" xfId="0" quotePrefix="1" applyNumberFormat="1" applyFont="1" applyBorder="1"/>
    <xf numFmtId="16" fontId="2" fillId="0" borderId="4" xfId="0" applyNumberFormat="1" applyFont="1" applyBorder="1"/>
    <xf numFmtId="164" fontId="3" fillId="0" borderId="1" xfId="1" applyNumberFormat="1" applyFont="1" applyBorder="1" applyAlignment="1">
      <alignment horizontal="center" wrapText="1"/>
    </xf>
    <xf numFmtId="3" fontId="3" fillId="0" borderId="2" xfId="1" applyNumberFormat="1" applyFont="1" applyBorder="1" applyAlignment="1">
      <alignment horizontal="center" wrapText="1"/>
    </xf>
    <xf numFmtId="3" fontId="3" fillId="0" borderId="9" xfId="1" applyNumberFormat="1" applyFont="1" applyBorder="1" applyAlignment="1">
      <alignment horizontal="center" wrapText="1"/>
    </xf>
    <xf numFmtId="164" fontId="4" fillId="0" borderId="5" xfId="1" applyNumberFormat="1" applyFont="1" applyBorder="1" applyAlignment="1">
      <alignment horizontal="center"/>
    </xf>
    <xf numFmtId="3" fontId="4" fillId="0" borderId="6" xfId="1" applyNumberFormat="1" applyFont="1" applyBorder="1" applyAlignment="1">
      <alignment horizontal="center"/>
    </xf>
    <xf numFmtId="3" fontId="4" fillId="0" borderId="7" xfId="1" applyNumberFormat="1" applyFont="1" applyBorder="1" applyAlignment="1">
      <alignment horizontal="center"/>
    </xf>
    <xf numFmtId="164" fontId="2" fillId="0" borderId="0" xfId="0" applyNumberFormat="1" applyFont="1"/>
    <xf numFmtId="164" fontId="2" fillId="0" borderId="8" xfId="0" applyNumberFormat="1" applyFont="1" applyBorder="1"/>
    <xf numFmtId="3" fontId="2" fillId="0" borderId="0" xfId="0" applyNumberFormat="1" applyFont="1"/>
    <xf numFmtId="3" fontId="2" fillId="0" borderId="8" xfId="0" applyNumberFormat="1" applyFont="1" applyBorder="1"/>
    <xf numFmtId="165" fontId="2" fillId="0" borderId="9" xfId="0" applyNumberFormat="1" applyFont="1" applyBorder="1"/>
    <xf numFmtId="165" fontId="2" fillId="0" borderId="11" xfId="0" applyNumberFormat="1" applyFont="1" applyBorder="1"/>
    <xf numFmtId="165" fontId="2" fillId="0" borderId="12" xfId="0" applyNumberFormat="1" applyFont="1" applyBorder="1"/>
    <xf numFmtId="0" fontId="2" fillId="0" borderId="0" xfId="0" applyFont="1" applyAlignment="1">
      <alignment wrapText="1"/>
    </xf>
    <xf numFmtId="0" fontId="5" fillId="0" borderId="8" xfId="0" applyFont="1" applyBorder="1" applyAlignment="1"/>
    <xf numFmtId="0" fontId="2" fillId="0" borderId="8" xfId="0" applyFont="1" applyBorder="1" applyAlignment="1"/>
    <xf numFmtId="0" fontId="2" fillId="0" borderId="0" xfId="0" applyFont="1" applyAlignment="1">
      <alignment wrapText="1"/>
    </xf>
    <xf numFmtId="0" fontId="2" fillId="0" borderId="8" xfId="0" applyFont="1" applyBorder="1" applyAlignment="1"/>
    <xf numFmtId="166" fontId="0" fillId="0" borderId="0" xfId="0" applyNumberFormat="1"/>
    <xf numFmtId="164" fontId="9" fillId="0" borderId="1" xfId="1" applyNumberFormat="1" applyFont="1" applyBorder="1" applyAlignment="1">
      <alignment horizontal="center" wrapText="1"/>
    </xf>
    <xf numFmtId="164" fontId="10" fillId="0" borderId="5" xfId="1" applyNumberFormat="1" applyFont="1" applyBorder="1" applyAlignment="1">
      <alignment horizontal="center"/>
    </xf>
    <xf numFmtId="16" fontId="2" fillId="0" borderId="4" xfId="0" quotePrefix="1" applyNumberFormat="1" applyFont="1" applyBorder="1"/>
    <xf numFmtId="164" fontId="2" fillId="0" borderId="0" xfId="0" applyNumberFormat="1" applyFont="1" applyBorder="1"/>
    <xf numFmtId="3" fontId="2" fillId="0" borderId="0" xfId="0" applyNumberFormat="1" applyFont="1" applyBorder="1"/>
    <xf numFmtId="16" fontId="2" fillId="0" borderId="0" xfId="0" quotePrefix="1" applyNumberFormat="1" applyFont="1" applyBorder="1"/>
    <xf numFmtId="165" fontId="2" fillId="0" borderId="0" xfId="0" applyNumberFormat="1" applyFont="1" applyBorder="1"/>
    <xf numFmtId="16" fontId="2" fillId="0" borderId="0" xfId="0" applyNumberFormat="1" applyFont="1" applyBorder="1"/>
    <xf numFmtId="3" fontId="9" fillId="0" borderId="2" xfId="1" applyNumberFormat="1" applyFont="1" applyBorder="1" applyAlignment="1">
      <alignment horizontal="center" wrapText="1"/>
    </xf>
    <xf numFmtId="3" fontId="10" fillId="0" borderId="6" xfId="1" applyNumberFormat="1" applyFont="1" applyBorder="1" applyAlignment="1">
      <alignment horizontal="center"/>
    </xf>
    <xf numFmtId="167" fontId="2" fillId="0" borderId="0" xfId="2" applyNumberFormat="1" applyFont="1"/>
    <xf numFmtId="168" fontId="9" fillId="0" borderId="0" xfId="0" applyNumberFormat="1" applyFont="1"/>
    <xf numFmtId="43" fontId="0" fillId="0" borderId="0" xfId="0" applyNumberFormat="1"/>
    <xf numFmtId="165" fontId="2" fillId="0" borderId="13" xfId="0" applyNumberFormat="1" applyFont="1" applyBorder="1"/>
    <xf numFmtId="165" fontId="2" fillId="0" borderId="8" xfId="0" applyNumberFormat="1" applyFont="1" applyBorder="1"/>
    <xf numFmtId="3" fontId="3" fillId="0" borderId="6" xfId="1" applyNumberFormat="1" applyFont="1" applyBorder="1" applyAlignment="1">
      <alignment horizontal="center" wrapText="1"/>
    </xf>
    <xf numFmtId="3" fontId="9" fillId="0" borderId="6" xfId="1" applyNumberFormat="1" applyFont="1" applyBorder="1" applyAlignment="1">
      <alignment horizontal="center" wrapText="1"/>
    </xf>
    <xf numFmtId="3" fontId="9" fillId="0" borderId="6" xfId="1" applyNumberFormat="1" applyFont="1" applyFill="1" applyBorder="1" applyAlignment="1">
      <alignment horizontal="center" wrapText="1"/>
    </xf>
    <xf numFmtId="169" fontId="10" fillId="0" borderId="6" xfId="1" applyNumberFormat="1" applyFont="1" applyBorder="1" applyAlignment="1">
      <alignment horizontal="center"/>
    </xf>
    <xf numFmtId="166" fontId="0" fillId="0" borderId="11" xfId="0" applyNumberFormat="1" applyBorder="1"/>
    <xf numFmtId="166" fontId="0" fillId="0" borderId="12" xfId="0" applyNumberFormat="1" applyBorder="1"/>
    <xf numFmtId="167" fontId="2" fillId="0" borderId="8" xfId="2" applyNumberFormat="1" applyFont="1" applyBorder="1"/>
    <xf numFmtId="43" fontId="0" fillId="0" borderId="8" xfId="0" applyNumberFormat="1" applyBorder="1"/>
    <xf numFmtId="172" fontId="0" fillId="0" borderId="0" xfId="0" applyNumberFormat="1"/>
    <xf numFmtId="3" fontId="9" fillId="0" borderId="14" xfId="1" applyNumberFormat="1" applyFont="1" applyFill="1" applyBorder="1" applyAlignment="1">
      <alignment horizontal="center" wrapText="1"/>
    </xf>
    <xf numFmtId="0" fontId="16" fillId="0" borderId="0" xfId="0" applyFont="1"/>
    <xf numFmtId="164" fontId="2" fillId="0" borderId="1" xfId="1" applyNumberFormat="1" applyFont="1" applyBorder="1" applyAlignment="1">
      <alignment horizontal="center" wrapText="1"/>
    </xf>
    <xf numFmtId="172" fontId="2" fillId="0" borderId="1" xfId="1" applyNumberFormat="1" applyFont="1" applyBorder="1" applyAlignment="1">
      <alignment horizontal="center" wrapText="1"/>
    </xf>
    <xf numFmtId="3" fontId="2" fillId="0" borderId="2" xfId="1" applyFont="1" applyBorder="1" applyAlignment="1">
      <alignment horizontal="center" wrapText="1"/>
    </xf>
    <xf numFmtId="169" fontId="2" fillId="0" borderId="6" xfId="1" applyNumberFormat="1" applyFont="1" applyBorder="1" applyAlignment="1">
      <alignment horizontal="center" wrapText="1"/>
    </xf>
    <xf numFmtId="3" fontId="2" fillId="0" borderId="9" xfId="1" applyFont="1" applyBorder="1" applyAlignment="1">
      <alignment horizontal="center" wrapText="1"/>
    </xf>
    <xf numFmtId="3" fontId="2" fillId="0" borderId="6" xfId="1" applyFont="1" applyBorder="1" applyAlignment="1">
      <alignment horizontal="center" wrapText="1"/>
    </xf>
    <xf numFmtId="164" fontId="17" fillId="0" borderId="5" xfId="1" applyNumberFormat="1" applyFont="1" applyBorder="1" applyAlignment="1">
      <alignment horizontal="center"/>
    </xf>
    <xf numFmtId="172" fontId="17" fillId="0" borderId="5" xfId="1" applyNumberFormat="1" applyFont="1" applyBorder="1" applyAlignment="1">
      <alignment horizontal="center"/>
    </xf>
    <xf numFmtId="3" fontId="17" fillId="0" borderId="6" xfId="1" applyFont="1" applyBorder="1" applyAlignment="1">
      <alignment horizontal="center"/>
    </xf>
    <xf numFmtId="169" fontId="17" fillId="0" borderId="6" xfId="1" applyNumberFormat="1" applyFont="1" applyBorder="1" applyAlignment="1">
      <alignment horizontal="center"/>
    </xf>
    <xf numFmtId="172" fontId="2" fillId="0" borderId="0" xfId="0" applyNumberFormat="1" applyFont="1"/>
    <xf numFmtId="170" fontId="2" fillId="0" borderId="0" xfId="0" applyNumberFormat="1" applyFont="1"/>
    <xf numFmtId="168" fontId="2" fillId="0" borderId="0" xfId="0" applyNumberFormat="1" applyFont="1"/>
    <xf numFmtId="4" fontId="2" fillId="0" borderId="0" xfId="0" applyNumberFormat="1" applyFont="1"/>
    <xf numFmtId="169" fontId="2" fillId="0" borderId="13" xfId="0" applyNumberFormat="1" applyFont="1" applyBorder="1"/>
    <xf numFmtId="171" fontId="16" fillId="0" borderId="11" xfId="0" applyNumberFormat="1" applyFont="1" applyBorder="1"/>
    <xf numFmtId="2" fontId="16" fillId="0" borderId="2" xfId="0" applyNumberFormat="1" applyFont="1" applyBorder="1"/>
    <xf numFmtId="0" fontId="2" fillId="0" borderId="10" xfId="0" applyFont="1" applyBorder="1" applyAlignment="1"/>
    <xf numFmtId="166" fontId="0" fillId="0" borderId="0" xfId="0" applyNumberFormat="1" applyFont="1"/>
    <xf numFmtId="3" fontId="3" fillId="0" borderId="2" xfId="1" applyNumberFormat="1" applyFont="1" applyBorder="1" applyAlignment="1"/>
    <xf numFmtId="0" fontId="2" fillId="0" borderId="0" xfId="0" applyFont="1" applyAlignment="1">
      <alignment wrapText="1"/>
    </xf>
    <xf numFmtId="0" fontId="5" fillId="0" borderId="8" xfId="0" applyFont="1" applyBorder="1" applyAlignment="1"/>
    <xf numFmtId="0" fontId="2" fillId="0" borderId="8" xfId="0" applyFont="1" applyBorder="1" applyAlignment="1"/>
    <xf numFmtId="3" fontId="3" fillId="0" borderId="2" xfId="1" applyNumberFormat="1" applyFont="1" applyBorder="1" applyAlignment="1">
      <alignment horizontal="center"/>
    </xf>
    <xf numFmtId="0" fontId="2" fillId="0" borderId="10" xfId="0" applyFont="1" applyBorder="1" applyAlignment="1"/>
    <xf numFmtId="0" fontId="2" fillId="0" borderId="8" xfId="0" applyFont="1" applyBorder="1" applyAlignment="1">
      <alignment wrapText="1"/>
    </xf>
    <xf numFmtId="3" fontId="2" fillId="0" borderId="2" xfId="1" applyFont="1" applyBorder="1" applyAlignment="1">
      <alignment horizontal="center"/>
    </xf>
    <xf numFmtId="0" fontId="2" fillId="0" borderId="10" xfId="0" applyFont="1" applyBorder="1"/>
  </cellXfs>
  <cellStyles count="3">
    <cellStyle name="Comma" xfId="2" builtinId="3"/>
    <cellStyle name="Normal" xfId="0" builtinId="0"/>
    <cellStyle name="Normal_Tb 2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Change</a:t>
            </a:r>
            <a:r>
              <a:rPr lang="en-US" baseline="0"/>
              <a:t> in Life Expectancy for Males (Days)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'Modified Life Table trunc. 85+'!$Q$4:$Q$89</c:f>
              <c:numCache>
                <c:formatCode>0.0000</c:formatCode>
                <c:ptCount val="86"/>
                <c:pt idx="0">
                  <c:v>198.81162549985478</c:v>
                </c:pt>
                <c:pt idx="1">
                  <c:v>199.94840995456872</c:v>
                </c:pt>
                <c:pt idx="2">
                  <c:v>199.9119443645757</c:v>
                </c:pt>
                <c:pt idx="3">
                  <c:v>199.92974019847591</c:v>
                </c:pt>
                <c:pt idx="4">
                  <c:v>199.93482241996995</c:v>
                </c:pt>
                <c:pt idx="5">
                  <c:v>199.94049306237048</c:v>
                </c:pt>
                <c:pt idx="6">
                  <c:v>199.97170227832106</c:v>
                </c:pt>
                <c:pt idx="7">
                  <c:v>199.98881808128434</c:v>
                </c:pt>
                <c:pt idx="8">
                  <c:v>200.0106031575753</c:v>
                </c:pt>
                <c:pt idx="9">
                  <c:v>200.02324104831891</c:v>
                </c:pt>
                <c:pt idx="10">
                  <c:v>200.0403014622359</c:v>
                </c:pt>
                <c:pt idx="11">
                  <c:v>200.03798362118999</c:v>
                </c:pt>
                <c:pt idx="12">
                  <c:v>200.04841274364696</c:v>
                </c:pt>
                <c:pt idx="13">
                  <c:v>200.05615827474006</c:v>
                </c:pt>
                <c:pt idx="14">
                  <c:v>200.08146401723016</c:v>
                </c:pt>
                <c:pt idx="15">
                  <c:v>200.08492140405849</c:v>
                </c:pt>
                <c:pt idx="16">
                  <c:v>200.11488601107769</c:v>
                </c:pt>
                <c:pt idx="17">
                  <c:v>200.12661714631699</c:v>
                </c:pt>
                <c:pt idx="18">
                  <c:v>199.90375071852307</c:v>
                </c:pt>
                <c:pt idx="19">
                  <c:v>199.16101649821908</c:v>
                </c:pt>
                <c:pt idx="20">
                  <c:v>197.38534996676731</c:v>
                </c:pt>
                <c:pt idx="21">
                  <c:v>194.75075191011436</c:v>
                </c:pt>
                <c:pt idx="22">
                  <c:v>191.65742793485771</c:v>
                </c:pt>
                <c:pt idx="23">
                  <c:v>187.46275940983435</c:v>
                </c:pt>
                <c:pt idx="24">
                  <c:v>182.24981167809457</c:v>
                </c:pt>
                <c:pt idx="25">
                  <c:v>176.48237705029103</c:v>
                </c:pt>
                <c:pt idx="26">
                  <c:v>170.48689232667661</c:v>
                </c:pt>
                <c:pt idx="27">
                  <c:v>163.79640543707461</c:v>
                </c:pt>
                <c:pt idx="28">
                  <c:v>156.64065063386087</c:v>
                </c:pt>
                <c:pt idx="29">
                  <c:v>149.22660379408092</c:v>
                </c:pt>
                <c:pt idx="30">
                  <c:v>141.64198489267528</c:v>
                </c:pt>
                <c:pt idx="31">
                  <c:v>134.55305965192736</c:v>
                </c:pt>
                <c:pt idx="32">
                  <c:v>127.35716058920588</c:v>
                </c:pt>
                <c:pt idx="33">
                  <c:v>120.0214979908376</c:v>
                </c:pt>
                <c:pt idx="34">
                  <c:v>112.66737362046605</c:v>
                </c:pt>
                <c:pt idx="35">
                  <c:v>105.70197046738974</c:v>
                </c:pt>
                <c:pt idx="36">
                  <c:v>98.827393123262311</c:v>
                </c:pt>
                <c:pt idx="37">
                  <c:v>92.323917523611144</c:v>
                </c:pt>
                <c:pt idx="38">
                  <c:v>86.471847622743383</c:v>
                </c:pt>
                <c:pt idx="39">
                  <c:v>80.750065537730421</c:v>
                </c:pt>
                <c:pt idx="40">
                  <c:v>75.072683545961667</c:v>
                </c:pt>
                <c:pt idx="41">
                  <c:v>70.16786571458843</c:v>
                </c:pt>
                <c:pt idx="42">
                  <c:v>65.235727756159733</c:v>
                </c:pt>
                <c:pt idx="43">
                  <c:v>60.994071109794831</c:v>
                </c:pt>
                <c:pt idx="44">
                  <c:v>56.898004846385938</c:v>
                </c:pt>
                <c:pt idx="45">
                  <c:v>53.19049710951446</c:v>
                </c:pt>
                <c:pt idx="46">
                  <c:v>49.258049137755961</c:v>
                </c:pt>
                <c:pt idx="47">
                  <c:v>45.560596237645122</c:v>
                </c:pt>
                <c:pt idx="48">
                  <c:v>41.802344962673985</c:v>
                </c:pt>
                <c:pt idx="49">
                  <c:v>38.492463406736</c:v>
                </c:pt>
                <c:pt idx="50">
                  <c:v>35.112928468923215</c:v>
                </c:pt>
                <c:pt idx="51">
                  <c:v>31.968267267067862</c:v>
                </c:pt>
                <c:pt idx="52">
                  <c:v>28.772135603108108</c:v>
                </c:pt>
                <c:pt idx="53">
                  <c:v>26.010318538064428</c:v>
                </c:pt>
                <c:pt idx="54">
                  <c:v>23.000413973286502</c:v>
                </c:pt>
                <c:pt idx="55">
                  <c:v>20.222319570011365</c:v>
                </c:pt>
                <c:pt idx="56">
                  <c:v>17.673355758864805</c:v>
                </c:pt>
                <c:pt idx="57">
                  <c:v>15.401855301363181</c:v>
                </c:pt>
                <c:pt idx="58">
                  <c:v>13.143185197817839</c:v>
                </c:pt>
                <c:pt idx="59">
                  <c:v>11.059623493999265</c:v>
                </c:pt>
                <c:pt idx="60">
                  <c:v>9.349494865633833</c:v>
                </c:pt>
                <c:pt idx="61">
                  <c:v>7.7961048071062917</c:v>
                </c:pt>
                <c:pt idx="62">
                  <c:v>6.4991755005319893</c:v>
                </c:pt>
                <c:pt idx="63">
                  <c:v>5.3569861725519869</c:v>
                </c:pt>
                <c:pt idx="64">
                  <c:v>4.3572562553405563</c:v>
                </c:pt>
                <c:pt idx="65">
                  <c:v>3.4590900572463923</c:v>
                </c:pt>
                <c:pt idx="66">
                  <c:v>2.765532227332236</c:v>
                </c:pt>
                <c:pt idx="67">
                  <c:v>2.1537377389638079</c:v>
                </c:pt>
                <c:pt idx="68">
                  <c:v>1.6974206621706274</c:v>
                </c:pt>
                <c:pt idx="69">
                  <c:v>1.3054185476324673</c:v>
                </c:pt>
                <c:pt idx="70">
                  <c:v>0.99785088364530461</c:v>
                </c:pt>
                <c:pt idx="71">
                  <c:v>0.83024234776018968</c:v>
                </c:pt>
                <c:pt idx="72">
                  <c:v>0.67721663907143537</c:v>
                </c:pt>
                <c:pt idx="73">
                  <c:v>0.51250838250286268</c:v>
                </c:pt>
                <c:pt idx="74">
                  <c:v>0.41963452504659937</c:v>
                </c:pt>
                <c:pt idx="75">
                  <c:v>0.38060761335853766</c:v>
                </c:pt>
                <c:pt idx="76">
                  <c:v>0.31321179087245854</c:v>
                </c:pt>
                <c:pt idx="77">
                  <c:v>0.25908999851355174</c:v>
                </c:pt>
                <c:pt idx="78">
                  <c:v>0.2126551637246874</c:v>
                </c:pt>
                <c:pt idx="79">
                  <c:v>0.16861633667064702</c:v>
                </c:pt>
                <c:pt idx="80">
                  <c:v>0.13279774876645378</c:v>
                </c:pt>
                <c:pt idx="81">
                  <c:v>0.12996216788571169</c:v>
                </c:pt>
                <c:pt idx="82">
                  <c:v>7.9630217118127566E-2</c:v>
                </c:pt>
                <c:pt idx="83">
                  <c:v>5.2958084209983936E-2</c:v>
                </c:pt>
                <c:pt idx="84">
                  <c:v>4.5691521546497693E-2</c:v>
                </c:pt>
                <c:pt idx="85">
                  <c:v>2.5739252931265222E-2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A71-4257-9730-C50CF31899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2495744"/>
        <c:axId val="772496160"/>
      </c:scatterChart>
      <c:valAx>
        <c:axId val="772495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2496160"/>
        <c:crossesAt val="0"/>
        <c:crossBetween val="midCat"/>
      </c:valAx>
      <c:valAx>
        <c:axId val="772496160"/>
        <c:scaling>
          <c:orientation val="minMax"/>
          <c:max val="2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24957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12</xdr:col>
      <xdr:colOff>95250</xdr:colOff>
      <xdr:row>27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Multiple Cause of Death, 1999-2018" connectionId="1" xr16:uid="{00000000-0016-0000-0100-000000000000}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/>
  <dimension ref="A1:G106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J15" sqref="J15"/>
    </sheetView>
  </sheetViews>
  <sheetFormatPr baseColWidth="10" defaultColWidth="9.5" defaultRowHeight="15"/>
  <cols>
    <col min="1" max="2" width="14.6640625" customWidth="1"/>
    <col min="3" max="3" width="14.5" customWidth="1"/>
    <col min="4" max="4" width="14.5" bestFit="1" customWidth="1"/>
    <col min="5" max="5" width="15.5" bestFit="1" customWidth="1"/>
    <col min="6" max="6" width="13.5" customWidth="1"/>
    <col min="7" max="7" width="13.6640625" customWidth="1"/>
  </cols>
  <sheetData>
    <row r="1" spans="1:7">
      <c r="A1" s="71" t="s">
        <v>15</v>
      </c>
      <c r="B1" s="72"/>
      <c r="C1" s="72"/>
      <c r="D1" s="72"/>
      <c r="E1" s="72"/>
      <c r="F1" s="72"/>
      <c r="G1" s="72"/>
    </row>
    <row r="2" spans="1:7" ht="67.5" customHeight="1">
      <c r="A2" s="73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spans="1:7" ht="16">
      <c r="A3" s="74"/>
      <c r="B3" s="8" t="s">
        <v>9</v>
      </c>
      <c r="C3" s="9" t="s">
        <v>10</v>
      </c>
      <c r="D3" s="9" t="s">
        <v>11</v>
      </c>
      <c r="E3" s="9" t="s">
        <v>12</v>
      </c>
      <c r="F3" s="9" t="s">
        <v>13</v>
      </c>
      <c r="G3" s="10" t="s">
        <v>14</v>
      </c>
    </row>
    <row r="4" spans="1:7">
      <c r="A4" s="2" t="s">
        <v>16</v>
      </c>
      <c r="B4" s="11">
        <v>6.3023469410836697E-3</v>
      </c>
      <c r="C4" s="13">
        <v>100000</v>
      </c>
      <c r="D4" s="13">
        <v>630.23468017578125</v>
      </c>
      <c r="E4" s="13">
        <v>99448.546875</v>
      </c>
      <c r="F4" s="13">
        <v>7610075</v>
      </c>
      <c r="G4" s="15">
        <v>76.100753784179688</v>
      </c>
    </row>
    <row r="5" spans="1:7">
      <c r="A5" s="3" t="s">
        <v>17</v>
      </c>
      <c r="B5" s="11">
        <v>4.2268639663234353E-4</v>
      </c>
      <c r="C5" s="13">
        <v>99369.765625</v>
      </c>
      <c r="D5" s="13">
        <v>42.002246856689453</v>
      </c>
      <c r="E5" s="13">
        <v>99348.765625</v>
      </c>
      <c r="F5" s="13">
        <v>7510626.5</v>
      </c>
      <c r="G5" s="16">
        <v>75.582611083984375</v>
      </c>
    </row>
    <row r="6" spans="1:7">
      <c r="A6" s="3" t="s">
        <v>18</v>
      </c>
      <c r="B6" s="11">
        <v>2.8743533766828477E-4</v>
      </c>
      <c r="C6" s="13">
        <v>99327.765625</v>
      </c>
      <c r="D6" s="13">
        <v>28.550310134887695</v>
      </c>
      <c r="E6" s="13">
        <v>99313.4921875</v>
      </c>
      <c r="F6" s="13">
        <v>7411277.5</v>
      </c>
      <c r="G6" s="16">
        <v>74.614356994628906</v>
      </c>
    </row>
    <row r="7" spans="1:7">
      <c r="A7" s="3" t="s">
        <v>19</v>
      </c>
      <c r="B7" s="11">
        <v>2.2494496079161763E-4</v>
      </c>
      <c r="C7" s="13">
        <v>99299.21875</v>
      </c>
      <c r="D7" s="13">
        <v>22.336858749389648</v>
      </c>
      <c r="E7" s="13">
        <v>99288.046875</v>
      </c>
      <c r="F7" s="13">
        <v>7311964</v>
      </c>
      <c r="G7" s="16">
        <v>73.635665893554688</v>
      </c>
    </row>
    <row r="8" spans="1:7">
      <c r="A8" s="3" t="s">
        <v>20</v>
      </c>
      <c r="B8" s="11">
        <v>1.5816476661711931E-4</v>
      </c>
      <c r="C8" s="13">
        <v>99276.8828125</v>
      </c>
      <c r="D8" s="13">
        <v>15.702104568481445</v>
      </c>
      <c r="E8" s="13">
        <v>99269.03125</v>
      </c>
      <c r="F8" s="13">
        <v>7212676</v>
      </c>
      <c r="G8" s="16">
        <v>72.652122497558594</v>
      </c>
    </row>
    <row r="9" spans="1:7">
      <c r="A9" s="3" t="s">
        <v>21</v>
      </c>
      <c r="B9" s="11">
        <v>1.5554059064015746E-4</v>
      </c>
      <c r="C9" s="13">
        <v>99261.1796875</v>
      </c>
      <c r="D9" s="13">
        <v>15.439142227172852</v>
      </c>
      <c r="E9" s="13">
        <v>99253.4609375</v>
      </c>
      <c r="F9" s="13">
        <v>7113407</v>
      </c>
      <c r="G9" s="16">
        <v>71.663536071777344</v>
      </c>
    </row>
    <row r="10" spans="1:7">
      <c r="A10" s="3" t="s">
        <v>22</v>
      </c>
      <c r="B10" s="11">
        <v>1.3845614739693701E-4</v>
      </c>
      <c r="C10" s="13">
        <v>99245.7421875</v>
      </c>
      <c r="D10" s="13">
        <v>13.741183280944824</v>
      </c>
      <c r="E10" s="13">
        <v>99238.875</v>
      </c>
      <c r="F10" s="13">
        <v>7014153.5</v>
      </c>
      <c r="G10" s="16">
        <v>70.674606323242188</v>
      </c>
    </row>
    <row r="11" spans="1:7">
      <c r="A11" s="3" t="s">
        <v>23</v>
      </c>
      <c r="B11" s="11">
        <v>1.2436427641659975E-4</v>
      </c>
      <c r="C11" s="13">
        <v>99232</v>
      </c>
      <c r="D11" s="13">
        <v>12.340915679931641</v>
      </c>
      <c r="E11" s="13">
        <v>99225.828125</v>
      </c>
      <c r="F11" s="13">
        <v>6914914.5</v>
      </c>
      <c r="G11" s="16">
        <v>69.684318542480469</v>
      </c>
    </row>
    <row r="12" spans="1:7">
      <c r="A12" s="3" t="s">
        <v>24</v>
      </c>
      <c r="B12" s="11">
        <v>1.1041062680305913E-4</v>
      </c>
      <c r="C12" s="13">
        <v>99219.65625</v>
      </c>
      <c r="D12" s="13">
        <v>10.954904556274414</v>
      </c>
      <c r="E12" s="13">
        <v>99214.1796875</v>
      </c>
      <c r="F12" s="13">
        <v>6815689</v>
      </c>
      <c r="G12" s="16">
        <v>68.69293212890625</v>
      </c>
    </row>
    <row r="13" spans="1:7">
      <c r="A13" s="3" t="s">
        <v>25</v>
      </c>
      <c r="B13" s="11">
        <v>9.8203672678209841E-5</v>
      </c>
      <c r="C13" s="13">
        <v>99208.703125</v>
      </c>
      <c r="D13" s="13">
        <v>9.7426586151123047</v>
      </c>
      <c r="E13" s="13">
        <v>99203.828125</v>
      </c>
      <c r="F13" s="13">
        <v>6716474.5</v>
      </c>
      <c r="G13" s="16">
        <v>67.700454711914062</v>
      </c>
    </row>
    <row r="14" spans="1:7">
      <c r="A14" s="3" t="s">
        <v>26</v>
      </c>
      <c r="B14" s="11">
        <v>9.3976806965656579E-5</v>
      </c>
      <c r="C14" s="13">
        <v>99198.9609375</v>
      </c>
      <c r="D14" s="13">
        <v>9.3224020004272461</v>
      </c>
      <c r="E14" s="13">
        <v>99194.296875</v>
      </c>
      <c r="F14" s="13">
        <v>6617271</v>
      </c>
      <c r="G14" s="16">
        <v>66.707061767578125</v>
      </c>
    </row>
    <row r="15" spans="1:7">
      <c r="A15" s="3" t="s">
        <v>27</v>
      </c>
      <c r="B15" s="11">
        <v>1.0786124767037109E-4</v>
      </c>
      <c r="C15" s="13">
        <v>99189.640625</v>
      </c>
      <c r="D15" s="13">
        <v>10.698718070983887</v>
      </c>
      <c r="E15" s="13">
        <v>99184.296875</v>
      </c>
      <c r="F15" s="13">
        <v>6518076.5</v>
      </c>
      <c r="G15" s="16">
        <v>65.713279724121094</v>
      </c>
    </row>
    <row r="16" spans="1:7">
      <c r="A16" s="3" t="s">
        <v>28</v>
      </c>
      <c r="B16" s="11">
        <v>1.5155704750213772E-4</v>
      </c>
      <c r="C16" s="13">
        <v>99178.9453125</v>
      </c>
      <c r="D16" s="13">
        <v>15.031268119812012</v>
      </c>
      <c r="E16" s="13">
        <v>99171.4296875</v>
      </c>
      <c r="F16" s="13">
        <v>6418892.5</v>
      </c>
      <c r="G16" s="16">
        <v>64.720314025878906</v>
      </c>
    </row>
    <row r="17" spans="1:7">
      <c r="A17" s="3" t="s">
        <v>29</v>
      </c>
      <c r="B17" s="11">
        <v>2.3189505736809224E-4</v>
      </c>
      <c r="C17" s="13">
        <v>99163.9140625</v>
      </c>
      <c r="D17" s="13">
        <v>22.995620727539062</v>
      </c>
      <c r="E17" s="13">
        <v>99152.421875</v>
      </c>
      <c r="F17" s="13">
        <v>6319721</v>
      </c>
      <c r="G17" s="16">
        <v>63.730049133300781</v>
      </c>
    </row>
    <row r="18" spans="1:7">
      <c r="A18" s="3" t="s">
        <v>30</v>
      </c>
      <c r="B18" s="11">
        <v>3.4138996852561831E-4</v>
      </c>
      <c r="C18" s="13">
        <v>99140.921875</v>
      </c>
      <c r="D18" s="13">
        <v>33.845714569091797</v>
      </c>
      <c r="E18" s="13">
        <v>99124</v>
      </c>
      <c r="F18" s="13">
        <v>6220568.5</v>
      </c>
      <c r="G18" s="16">
        <v>62.744712829589844</v>
      </c>
    </row>
    <row r="19" spans="1:7">
      <c r="A19" s="3" t="s">
        <v>31</v>
      </c>
      <c r="B19" s="11">
        <v>4.61328134406358E-4</v>
      </c>
      <c r="C19" s="13">
        <v>99107.078125</v>
      </c>
      <c r="D19" s="13">
        <v>45.720882415771484</v>
      </c>
      <c r="E19" s="13">
        <v>99084.21875</v>
      </c>
      <c r="F19" s="13">
        <v>6121444.5</v>
      </c>
      <c r="G19" s="16">
        <v>61.765968322753906</v>
      </c>
    </row>
    <row r="20" spans="1:7">
      <c r="A20" s="3" t="s">
        <v>32</v>
      </c>
      <c r="B20" s="11">
        <v>5.8416114188730717E-4</v>
      </c>
      <c r="C20" s="13">
        <v>99061.359375</v>
      </c>
      <c r="D20" s="13">
        <v>57.8677978515625</v>
      </c>
      <c r="E20" s="13">
        <v>99032.421875</v>
      </c>
      <c r="F20" s="13">
        <v>6022360</v>
      </c>
      <c r="G20" s="16">
        <v>60.794239044189453</v>
      </c>
    </row>
    <row r="21" spans="1:7">
      <c r="A21" s="3" t="s">
        <v>33</v>
      </c>
      <c r="B21" s="11">
        <v>7.1757868863642216E-4</v>
      </c>
      <c r="C21" s="13">
        <v>99003.4921875</v>
      </c>
      <c r="D21" s="13">
        <v>71.042793273925781</v>
      </c>
      <c r="E21" s="13">
        <v>98967.96875</v>
      </c>
      <c r="F21" s="13">
        <v>5923328</v>
      </c>
      <c r="G21" s="16">
        <v>59.829486846923828</v>
      </c>
    </row>
    <row r="22" spans="1:7">
      <c r="A22" s="3" t="s">
        <v>34</v>
      </c>
      <c r="B22" s="11">
        <v>8.5859786486253142E-4</v>
      </c>
      <c r="C22" s="13">
        <v>98932.453125</v>
      </c>
      <c r="D22" s="13">
        <v>84.943191528320312</v>
      </c>
      <c r="E22" s="13">
        <v>98889.984375</v>
      </c>
      <c r="F22" s="13">
        <v>5824360</v>
      </c>
      <c r="G22" s="16">
        <v>58.872085571289062</v>
      </c>
    </row>
    <row r="23" spans="1:7">
      <c r="A23" s="3" t="s">
        <v>35</v>
      </c>
      <c r="B23" s="11">
        <v>1.0014867875725031E-3</v>
      </c>
      <c r="C23" s="13">
        <v>98847.5078125</v>
      </c>
      <c r="D23" s="13">
        <v>98.994476318359375</v>
      </c>
      <c r="E23" s="13">
        <v>98798.015625</v>
      </c>
      <c r="F23" s="13">
        <v>5725470</v>
      </c>
      <c r="G23" s="16">
        <v>57.922248840332031</v>
      </c>
    </row>
    <row r="24" spans="1:7">
      <c r="A24" s="3" t="s">
        <v>36</v>
      </c>
      <c r="B24" s="11">
        <v>1.1470711324363947E-3</v>
      </c>
      <c r="C24" s="13">
        <v>98748.515625</v>
      </c>
      <c r="D24" s="13">
        <v>113.27156829833984</v>
      </c>
      <c r="E24" s="13">
        <v>98691.875</v>
      </c>
      <c r="F24" s="13">
        <v>5626672</v>
      </c>
      <c r="G24" s="16">
        <v>56.979812622070312</v>
      </c>
    </row>
    <row r="25" spans="1:7">
      <c r="A25" s="3" t="s">
        <v>37</v>
      </c>
      <c r="B25" s="11">
        <v>1.2859423877671361E-3</v>
      </c>
      <c r="C25" s="13">
        <v>98635.2421875</v>
      </c>
      <c r="D25" s="13">
        <v>126.83924102783203</v>
      </c>
      <c r="E25" s="13">
        <v>98571.828125</v>
      </c>
      <c r="F25" s="13">
        <v>5527980</v>
      </c>
      <c r="G25" s="16">
        <v>56.044673919677734</v>
      </c>
    </row>
    <row r="26" spans="1:7">
      <c r="A26" s="3" t="s">
        <v>38</v>
      </c>
      <c r="B26" s="11">
        <v>1.4028329169377685E-3</v>
      </c>
      <c r="C26" s="13">
        <v>98508.40625</v>
      </c>
      <c r="D26" s="13">
        <v>138.19084167480469</v>
      </c>
      <c r="E26" s="13">
        <v>98439.3125</v>
      </c>
      <c r="F26" s="13">
        <v>5429408</v>
      </c>
      <c r="G26" s="16">
        <v>55.116188049316406</v>
      </c>
    </row>
    <row r="27" spans="1:7">
      <c r="A27" s="3" t="s">
        <v>39</v>
      </c>
      <c r="B27" s="11">
        <v>1.4899933012202382E-3</v>
      </c>
      <c r="C27" s="13">
        <v>98370.21875</v>
      </c>
      <c r="D27" s="13">
        <v>146.57096862792969</v>
      </c>
      <c r="E27" s="13">
        <v>98296.9375</v>
      </c>
      <c r="F27" s="13">
        <v>5330969</v>
      </c>
      <c r="G27" s="16">
        <v>54.192916870117188</v>
      </c>
    </row>
    <row r="28" spans="1:7">
      <c r="A28" s="3" t="s">
        <v>40</v>
      </c>
      <c r="B28" s="11">
        <v>1.5538185834884644E-3</v>
      </c>
      <c r="C28" s="13">
        <v>98223.6484375</v>
      </c>
      <c r="D28" s="13">
        <v>152.62173461914062</v>
      </c>
      <c r="E28" s="13">
        <v>98147.3359375</v>
      </c>
      <c r="F28" s="13">
        <v>5232672</v>
      </c>
      <c r="G28" s="16">
        <v>53.273036956787109</v>
      </c>
    </row>
    <row r="29" spans="1:7">
      <c r="A29" s="3" t="s">
        <v>41</v>
      </c>
      <c r="B29" s="11">
        <v>1.609192113392055E-3</v>
      </c>
      <c r="C29" s="13">
        <v>98071.0234375</v>
      </c>
      <c r="D29" s="13">
        <v>157.81512451171875</v>
      </c>
      <c r="E29" s="13">
        <v>97992.1171875</v>
      </c>
      <c r="F29" s="13">
        <v>5134524.5</v>
      </c>
      <c r="G29" s="16">
        <v>52.35516357421875</v>
      </c>
    </row>
    <row r="30" spans="1:7">
      <c r="A30" s="3" t="s">
        <v>42</v>
      </c>
      <c r="B30" s="11">
        <v>1.6636601649224758E-3</v>
      </c>
      <c r="C30" s="13">
        <v>97913.2109375</v>
      </c>
      <c r="D30" s="13">
        <v>162.89430236816406</v>
      </c>
      <c r="E30" s="13">
        <v>97831.765625</v>
      </c>
      <c r="F30" s="13">
        <v>5036532.5</v>
      </c>
      <c r="G30" s="16">
        <v>51.438743591308594</v>
      </c>
    </row>
    <row r="31" spans="1:7">
      <c r="A31" s="3" t="s">
        <v>43</v>
      </c>
      <c r="B31" s="11">
        <v>1.71330024022609E-3</v>
      </c>
      <c r="C31" s="13">
        <v>97750.3203125</v>
      </c>
      <c r="D31" s="13">
        <v>167.47564697265625</v>
      </c>
      <c r="E31" s="13">
        <v>97666.578125</v>
      </c>
      <c r="F31" s="13">
        <v>4938700.5</v>
      </c>
      <c r="G31" s="16">
        <v>50.523624420166016</v>
      </c>
    </row>
    <row r="32" spans="1:7">
      <c r="A32" s="3" t="s">
        <v>44</v>
      </c>
      <c r="B32" s="11">
        <v>1.7615470569580793E-3</v>
      </c>
      <c r="C32" s="13">
        <v>97582.84375</v>
      </c>
      <c r="D32" s="13">
        <v>171.89677429199219</v>
      </c>
      <c r="E32" s="13">
        <v>97496.890625</v>
      </c>
      <c r="F32" s="13">
        <v>4841034</v>
      </c>
      <c r="G32" s="16">
        <v>49.609477996826172</v>
      </c>
    </row>
    <row r="33" spans="1:7">
      <c r="A33" s="3" t="s">
        <v>45</v>
      </c>
      <c r="B33" s="11">
        <v>1.81030691601336E-3</v>
      </c>
      <c r="C33" s="13">
        <v>97410.9453125</v>
      </c>
      <c r="D33" s="13">
        <v>176.34370422363281</v>
      </c>
      <c r="E33" s="13">
        <v>97322.7734375</v>
      </c>
      <c r="F33" s="13">
        <v>4743537</v>
      </c>
      <c r="G33" s="16">
        <v>48.696140289306641</v>
      </c>
    </row>
    <row r="34" spans="1:7">
      <c r="A34" s="3" t="s">
        <v>46</v>
      </c>
      <c r="B34" s="11">
        <v>1.8587581580504775E-3</v>
      </c>
      <c r="C34" s="13">
        <v>97234.6015625</v>
      </c>
      <c r="D34" s="13">
        <v>180.73561096191406</v>
      </c>
      <c r="E34" s="13">
        <v>97144.234375</v>
      </c>
      <c r="F34" s="13">
        <v>4646214.5</v>
      </c>
      <c r="G34" s="16">
        <v>47.783550262451172</v>
      </c>
    </row>
    <row r="35" spans="1:7">
      <c r="A35" s="3" t="s">
        <v>47</v>
      </c>
      <c r="B35" s="11">
        <v>1.9074579467996955E-3</v>
      </c>
      <c r="C35" s="13">
        <v>97053.8671875</v>
      </c>
      <c r="D35" s="13">
        <v>185.12617492675781</v>
      </c>
      <c r="E35" s="13">
        <v>96961.3046875</v>
      </c>
      <c r="F35" s="13">
        <v>4549070</v>
      </c>
      <c r="G35" s="16">
        <v>46.871601104736328</v>
      </c>
    </row>
    <row r="36" spans="1:7">
      <c r="A36" s="3" t="s">
        <v>48</v>
      </c>
      <c r="B36" s="11">
        <v>1.9591974560171366E-3</v>
      </c>
      <c r="C36" s="13">
        <v>96868.7421875</v>
      </c>
      <c r="D36" s="13">
        <v>189.78498840332031</v>
      </c>
      <c r="E36" s="13">
        <v>96773.8515625</v>
      </c>
      <c r="F36" s="13">
        <v>4452109</v>
      </c>
      <c r="G36" s="16">
        <v>45.960224151611328</v>
      </c>
    </row>
    <row r="37" spans="1:7">
      <c r="A37" s="3" t="s">
        <v>49</v>
      </c>
      <c r="B37" s="11">
        <v>2.014129189774394E-3</v>
      </c>
      <c r="C37" s="13">
        <v>96678.9609375</v>
      </c>
      <c r="D37" s="13">
        <v>194.72392272949219</v>
      </c>
      <c r="E37" s="13">
        <v>96581.59375</v>
      </c>
      <c r="F37" s="13">
        <v>4355335</v>
      </c>
      <c r="G37" s="16">
        <v>45.049461364746094</v>
      </c>
    </row>
    <row r="38" spans="1:7">
      <c r="A38" s="3" t="s">
        <v>50</v>
      </c>
      <c r="B38" s="11">
        <v>2.0716269500553608E-3</v>
      </c>
      <c r="C38" s="13">
        <v>96484.234375</v>
      </c>
      <c r="D38" s="13">
        <v>199.87933349609375</v>
      </c>
      <c r="E38" s="13">
        <v>96384.296875</v>
      </c>
      <c r="F38" s="13">
        <v>4258753.5</v>
      </c>
      <c r="G38" s="16">
        <v>44.139369964599609</v>
      </c>
    </row>
    <row r="39" spans="1:7">
      <c r="A39" s="3" t="s">
        <v>51</v>
      </c>
      <c r="B39" s="11">
        <v>2.1390151232481003E-3</v>
      </c>
      <c r="C39" s="13">
        <v>96284.3515625</v>
      </c>
      <c r="D39" s="13">
        <v>205.95368957519531</v>
      </c>
      <c r="E39" s="13">
        <v>96181.375</v>
      </c>
      <c r="F39" s="13">
        <v>4162369.25</v>
      </c>
      <c r="G39" s="16">
        <v>43.229965209960938</v>
      </c>
    </row>
    <row r="40" spans="1:7">
      <c r="A40" s="3" t="s">
        <v>52</v>
      </c>
      <c r="B40" s="11">
        <v>2.2113339509814978E-3</v>
      </c>
      <c r="C40" s="13">
        <v>96078.3984375</v>
      </c>
      <c r="D40" s="13">
        <v>212.46142578125</v>
      </c>
      <c r="E40" s="13">
        <v>95972.171875</v>
      </c>
      <c r="F40" s="13">
        <v>4066187.75</v>
      </c>
      <c r="G40" s="16">
        <v>42.321559906005859</v>
      </c>
    </row>
    <row r="41" spans="1:7">
      <c r="A41" s="3" t="s">
        <v>53</v>
      </c>
      <c r="B41" s="11">
        <v>2.2768150083720684E-3</v>
      </c>
      <c r="C41" s="13">
        <v>95865.9375</v>
      </c>
      <c r="D41" s="13">
        <v>218.26901245117188</v>
      </c>
      <c r="E41" s="13">
        <v>95756.8046875</v>
      </c>
      <c r="F41" s="13">
        <v>3970215.5</v>
      </c>
      <c r="G41" s="16">
        <v>41.41424560546875</v>
      </c>
    </row>
    <row r="42" spans="1:7">
      <c r="A42" s="3" t="s">
        <v>54</v>
      </c>
      <c r="B42" s="11">
        <v>2.3329313844442368E-3</v>
      </c>
      <c r="C42" s="13">
        <v>95647.671875</v>
      </c>
      <c r="D42" s="13">
        <v>223.13945007324219</v>
      </c>
      <c r="E42" s="13">
        <v>95536.1015625</v>
      </c>
      <c r="F42" s="13">
        <v>3874458.75</v>
      </c>
      <c r="G42" s="16">
        <v>40.507610321044922</v>
      </c>
    </row>
    <row r="43" spans="1:7">
      <c r="A43" s="3" t="s">
        <v>55</v>
      </c>
      <c r="B43" s="11">
        <v>2.3898361250758171E-3</v>
      </c>
      <c r="C43" s="13">
        <v>95424.53125</v>
      </c>
      <c r="D43" s="13">
        <v>228.04899597167969</v>
      </c>
      <c r="E43" s="13">
        <v>95310.5078125</v>
      </c>
      <c r="F43" s="13">
        <v>3778922.75</v>
      </c>
      <c r="G43" s="16">
        <v>39.601165771484375</v>
      </c>
    </row>
    <row r="44" spans="1:7">
      <c r="A44" s="3" t="s">
        <v>56</v>
      </c>
      <c r="B44" s="11">
        <v>2.4626462254673243E-3</v>
      </c>
      <c r="C44" s="13">
        <v>95196.484375</v>
      </c>
      <c r="D44" s="13">
        <v>234.43525695800781</v>
      </c>
      <c r="E44" s="13">
        <v>95079.265625</v>
      </c>
      <c r="F44" s="13">
        <v>3683612.25</v>
      </c>
      <c r="G44" s="16">
        <v>38.694835662841797</v>
      </c>
    </row>
    <row r="45" spans="1:7">
      <c r="A45" s="3" t="s">
        <v>57</v>
      </c>
      <c r="B45" s="11">
        <v>2.5655240751802921E-3</v>
      </c>
      <c r="C45" s="13">
        <v>94962.046875</v>
      </c>
      <c r="D45" s="13">
        <v>243.62741088867188</v>
      </c>
      <c r="E45" s="13">
        <v>94840.234375</v>
      </c>
      <c r="F45" s="13">
        <v>3588533</v>
      </c>
      <c r="G45" s="16">
        <v>37.789127349853516</v>
      </c>
    </row>
    <row r="46" spans="1:7">
      <c r="A46" s="3" t="s">
        <v>58</v>
      </c>
      <c r="B46" s="11">
        <v>2.7009788900613785E-3</v>
      </c>
      <c r="C46" s="13">
        <v>94718.421875</v>
      </c>
      <c r="D46" s="13">
        <v>255.83245849609375</v>
      </c>
      <c r="E46" s="13">
        <v>94590.5</v>
      </c>
      <c r="F46" s="13">
        <v>3493692.75</v>
      </c>
      <c r="G46" s="16">
        <v>36.885040283203125</v>
      </c>
    </row>
    <row r="47" spans="1:7">
      <c r="A47" s="3" t="s">
        <v>59</v>
      </c>
      <c r="B47" s="11">
        <v>2.8696933295577765E-3</v>
      </c>
      <c r="C47" s="13">
        <v>94462.5859375</v>
      </c>
      <c r="D47" s="13">
        <v>271.07864379882812</v>
      </c>
      <c r="E47" s="13">
        <v>94327.046875</v>
      </c>
      <c r="F47" s="13">
        <v>3399102.25</v>
      </c>
      <c r="G47" s="16">
        <v>35.98358154296875</v>
      </c>
    </row>
    <row r="48" spans="1:7">
      <c r="A48" s="3" t="s">
        <v>60</v>
      </c>
      <c r="B48" s="11">
        <v>3.0660501215606928E-3</v>
      </c>
      <c r="C48" s="13">
        <v>94191.5078125</v>
      </c>
      <c r="D48" s="13">
        <v>288.7958984375</v>
      </c>
      <c r="E48" s="13">
        <v>94047.109375</v>
      </c>
      <c r="F48" s="13">
        <v>3304775.25</v>
      </c>
      <c r="G48" s="16">
        <v>35.085700988769531</v>
      </c>
    </row>
    <row r="49" spans="1:7">
      <c r="A49" s="3" t="s">
        <v>61</v>
      </c>
      <c r="B49" s="11">
        <v>3.2801120541989803E-3</v>
      </c>
      <c r="C49" s="13">
        <v>93902.7109375</v>
      </c>
      <c r="D49" s="13">
        <v>308.01141357421875</v>
      </c>
      <c r="E49" s="13">
        <v>93748.703125</v>
      </c>
      <c r="F49" s="13">
        <v>3210728</v>
      </c>
      <c r="G49" s="16">
        <v>34.192070007324219</v>
      </c>
    </row>
    <row r="50" spans="1:7">
      <c r="A50" s="3" t="s">
        <v>62</v>
      </c>
      <c r="B50" s="11">
        <v>3.5201031714677811E-3</v>
      </c>
      <c r="C50" s="13">
        <v>93594.703125</v>
      </c>
      <c r="D50" s="13">
        <v>329.4630126953125</v>
      </c>
      <c r="E50" s="13">
        <v>93429.96875</v>
      </c>
      <c r="F50" s="13">
        <v>3116979.25</v>
      </c>
      <c r="G50" s="16">
        <v>33.302944183349609</v>
      </c>
    </row>
    <row r="51" spans="1:7">
      <c r="A51" s="3" t="s">
        <v>63</v>
      </c>
      <c r="B51" s="11">
        <v>3.803920466452837E-3</v>
      </c>
      <c r="C51" s="13">
        <v>93265.2421875</v>
      </c>
      <c r="D51" s="13">
        <v>354.7735595703125</v>
      </c>
      <c r="E51" s="13">
        <v>93087.859375</v>
      </c>
      <c r="F51" s="13">
        <v>3023549.25</v>
      </c>
      <c r="G51" s="16">
        <v>32.4188232421875</v>
      </c>
    </row>
    <row r="52" spans="1:7">
      <c r="A52" s="3" t="s">
        <v>64</v>
      </c>
      <c r="B52" s="11">
        <v>4.1459756903350353E-3</v>
      </c>
      <c r="C52" s="13">
        <v>92910.46875</v>
      </c>
      <c r="D52" s="13">
        <v>385.20455932617188</v>
      </c>
      <c r="E52" s="13">
        <v>92717.8671875</v>
      </c>
      <c r="F52" s="13">
        <v>2930461.5</v>
      </c>
      <c r="G52" s="16">
        <v>31.540702819824219</v>
      </c>
    </row>
    <row r="53" spans="1:7">
      <c r="A53" s="3" t="s">
        <v>65</v>
      </c>
      <c r="B53" s="11">
        <v>4.5468863099813461E-3</v>
      </c>
      <c r="C53" s="13">
        <v>92525.265625</v>
      </c>
      <c r="D53" s="13">
        <v>420.70187377929688</v>
      </c>
      <c r="E53" s="13">
        <v>92314.9140625</v>
      </c>
      <c r="F53" s="13">
        <v>2837743.75</v>
      </c>
      <c r="G53" s="16">
        <v>30.669933319091797</v>
      </c>
    </row>
    <row r="54" spans="1:7">
      <c r="A54" s="3" t="s">
        <v>66</v>
      </c>
      <c r="B54" s="11">
        <v>4.9782963469624519E-3</v>
      </c>
      <c r="C54" s="13">
        <v>92104.5625</v>
      </c>
      <c r="D54" s="13">
        <v>458.5238037109375</v>
      </c>
      <c r="E54" s="13">
        <v>91875.296875</v>
      </c>
      <c r="F54" s="13">
        <v>2745428.75</v>
      </c>
      <c r="G54" s="16">
        <v>29.8077392578125</v>
      </c>
    </row>
    <row r="55" spans="1:7">
      <c r="A55" s="3" t="s">
        <v>67</v>
      </c>
      <c r="B55" s="11">
        <v>5.4409313015639782E-3</v>
      </c>
      <c r="C55" s="13">
        <v>91646.0390625</v>
      </c>
      <c r="D55" s="13">
        <v>498.63980102539062</v>
      </c>
      <c r="E55" s="13">
        <v>91396.71875</v>
      </c>
      <c r="F55" s="13">
        <v>2653553.5</v>
      </c>
      <c r="G55" s="16">
        <v>28.954372406005859</v>
      </c>
    </row>
    <row r="56" spans="1:7">
      <c r="A56" s="3" t="s">
        <v>68</v>
      </c>
      <c r="B56" s="11">
        <v>5.9650964103639126E-3</v>
      </c>
      <c r="C56" s="13">
        <v>91147.3984375</v>
      </c>
      <c r="D56" s="13">
        <v>543.7030029296875</v>
      </c>
      <c r="E56" s="13">
        <v>90875.546875</v>
      </c>
      <c r="F56" s="13">
        <v>2562156.75</v>
      </c>
      <c r="G56" s="16">
        <v>28.110036849975586</v>
      </c>
    </row>
    <row r="57" spans="1:7">
      <c r="A57" s="3" t="s">
        <v>69</v>
      </c>
      <c r="B57" s="11">
        <v>6.5485280938446522E-3</v>
      </c>
      <c r="C57" s="13">
        <v>90603.6953125</v>
      </c>
      <c r="D57" s="13">
        <v>593.32086181640625</v>
      </c>
      <c r="E57" s="13">
        <v>90307.03125</v>
      </c>
      <c r="F57" s="13">
        <v>2471281.25</v>
      </c>
      <c r="G57" s="16">
        <v>27.275722503662109</v>
      </c>
    </row>
    <row r="58" spans="1:7">
      <c r="A58" s="3" t="s">
        <v>70</v>
      </c>
      <c r="B58" s="11">
        <v>7.1699204854667187E-3</v>
      </c>
      <c r="C58" s="13">
        <v>90010.375</v>
      </c>
      <c r="D58" s="13">
        <v>645.36724853515625</v>
      </c>
      <c r="E58" s="13">
        <v>89687.6875</v>
      </c>
      <c r="F58" s="13">
        <v>2380974.25</v>
      </c>
      <c r="G58" s="16">
        <v>26.452220916748047</v>
      </c>
    </row>
    <row r="59" spans="1:7">
      <c r="A59" s="3" t="s">
        <v>71</v>
      </c>
      <c r="B59" s="11">
        <v>7.8031821176409721E-3</v>
      </c>
      <c r="C59" s="13">
        <v>89365.0078125</v>
      </c>
      <c r="D59" s="13">
        <v>697.3314208984375</v>
      </c>
      <c r="E59" s="13">
        <v>89016.34375</v>
      </c>
      <c r="F59" s="13">
        <v>2291286.5</v>
      </c>
      <c r="G59" s="16">
        <v>25.639638900756836</v>
      </c>
    </row>
    <row r="60" spans="1:7">
      <c r="A60" s="3" t="s">
        <v>72</v>
      </c>
      <c r="B60" s="11">
        <v>8.4446631371974945E-3</v>
      </c>
      <c r="C60" s="13">
        <v>88667.6796875</v>
      </c>
      <c r="D60" s="13">
        <v>748.7686767578125</v>
      </c>
      <c r="E60" s="13">
        <v>88293.296875</v>
      </c>
      <c r="F60" s="13">
        <v>2202270</v>
      </c>
      <c r="G60" s="16">
        <v>24.837347030639648</v>
      </c>
    </row>
    <row r="61" spans="1:7">
      <c r="A61" s="3" t="s">
        <v>73</v>
      </c>
      <c r="B61" s="11">
        <v>9.1161839663982391E-3</v>
      </c>
      <c r="C61" s="13">
        <v>87918.9140625</v>
      </c>
      <c r="D61" s="13">
        <v>801.4849853515625</v>
      </c>
      <c r="E61" s="13">
        <v>87518.171875</v>
      </c>
      <c r="F61" s="13">
        <v>2113976.75</v>
      </c>
      <c r="G61" s="16">
        <v>24.044618606567383</v>
      </c>
    </row>
    <row r="62" spans="1:7">
      <c r="A62" s="3" t="s">
        <v>74</v>
      </c>
      <c r="B62" s="11">
        <v>9.8380874842405319E-3</v>
      </c>
      <c r="C62" s="13">
        <v>87117.4296875</v>
      </c>
      <c r="D62" s="13">
        <v>857.06890869140625</v>
      </c>
      <c r="E62" s="13">
        <v>86688.890625</v>
      </c>
      <c r="F62" s="13">
        <v>2026458.625</v>
      </c>
      <c r="G62" s="16">
        <v>23.26123046875</v>
      </c>
    </row>
    <row r="63" spans="1:7">
      <c r="A63" s="3" t="s">
        <v>75</v>
      </c>
      <c r="B63" s="11">
        <v>1.0619322769343853E-2</v>
      </c>
      <c r="C63" s="13">
        <v>86260.359375</v>
      </c>
      <c r="D63" s="13">
        <v>916.026611328125</v>
      </c>
      <c r="E63" s="13">
        <v>85802.34375</v>
      </c>
      <c r="F63" s="13">
        <v>1939769.75</v>
      </c>
      <c r="G63" s="16">
        <v>22.487382888793945</v>
      </c>
    </row>
    <row r="64" spans="1:7">
      <c r="A64" s="3" t="s">
        <v>76</v>
      </c>
      <c r="B64" s="11">
        <v>1.146990992128849E-2</v>
      </c>
      <c r="C64" s="13">
        <v>85344.3359375</v>
      </c>
      <c r="D64" s="13">
        <v>978.891845703125</v>
      </c>
      <c r="E64" s="13">
        <v>84854.890625</v>
      </c>
      <c r="F64" s="13">
        <v>1853967.375</v>
      </c>
      <c r="G64" s="16">
        <v>21.723379135131836</v>
      </c>
    </row>
    <row r="65" spans="1:7">
      <c r="A65" s="3" t="s">
        <v>77</v>
      </c>
      <c r="B65" s="11">
        <v>1.2361294589936733E-2</v>
      </c>
      <c r="C65" s="13">
        <v>84365.4453125</v>
      </c>
      <c r="D65" s="13">
        <v>1042.8660888671875</v>
      </c>
      <c r="E65" s="13">
        <v>83844.015625</v>
      </c>
      <c r="F65" s="13">
        <v>1769112.5</v>
      </c>
      <c r="G65" s="16">
        <v>20.969633102416992</v>
      </c>
    </row>
    <row r="66" spans="1:7">
      <c r="A66" s="3" t="s">
        <v>78</v>
      </c>
      <c r="B66" s="11">
        <v>1.3260341249406338E-2</v>
      </c>
      <c r="C66" s="13">
        <v>83322.578125</v>
      </c>
      <c r="D66" s="13">
        <v>1104.8858642578125</v>
      </c>
      <c r="E66" s="13">
        <v>82770.140625</v>
      </c>
      <c r="F66" s="13">
        <v>1685268.5</v>
      </c>
      <c r="G66" s="16">
        <v>20.225831985473633</v>
      </c>
    </row>
    <row r="67" spans="1:7">
      <c r="A67" s="3" t="s">
        <v>79</v>
      </c>
      <c r="B67" s="11">
        <v>1.4139737002551556E-2</v>
      </c>
      <c r="C67" s="13">
        <v>82217.6953125</v>
      </c>
      <c r="D67" s="13">
        <v>1162.53662109375</v>
      </c>
      <c r="E67" s="13">
        <v>81636.421875</v>
      </c>
      <c r="F67" s="13">
        <v>1602498.375</v>
      </c>
      <c r="G67" s="16">
        <v>19.49091911315918</v>
      </c>
    </row>
    <row r="68" spans="1:7">
      <c r="A68" s="3" t="s">
        <v>80</v>
      </c>
      <c r="B68" s="11">
        <v>1.5018866397440434E-2</v>
      </c>
      <c r="C68" s="13">
        <v>81055.15625</v>
      </c>
      <c r="D68" s="13">
        <v>1217.3565673828125</v>
      </c>
      <c r="E68" s="13">
        <v>80446.4765625</v>
      </c>
      <c r="F68" s="13">
        <v>1520861.875</v>
      </c>
      <c r="G68" s="16">
        <v>18.763296127319336</v>
      </c>
    </row>
    <row r="69" spans="1:7">
      <c r="A69" s="3" t="s">
        <v>81</v>
      </c>
      <c r="B69" s="11">
        <v>1.594170555472374E-2</v>
      </c>
      <c r="C69" s="13">
        <v>79837.796875</v>
      </c>
      <c r="D69" s="13">
        <v>1272.7506103515625</v>
      </c>
      <c r="E69" s="13">
        <v>79201.421875</v>
      </c>
      <c r="F69" s="13">
        <v>1440415.5</v>
      </c>
      <c r="G69" s="16">
        <v>18.041774749755859</v>
      </c>
    </row>
    <row r="70" spans="1:7">
      <c r="A70" s="3" t="s">
        <v>82</v>
      </c>
      <c r="B70" s="11">
        <v>1.7026431858539581E-2</v>
      </c>
      <c r="C70" s="13">
        <v>78565.046875</v>
      </c>
      <c r="D70" s="13">
        <v>1337.682373046875</v>
      </c>
      <c r="E70" s="13">
        <v>77896.203125</v>
      </c>
      <c r="F70" s="13">
        <v>1361214</v>
      </c>
      <c r="G70" s="16">
        <v>17.325948715209961</v>
      </c>
    </row>
    <row r="71" spans="1:7">
      <c r="A71" s="3" t="s">
        <v>83</v>
      </c>
      <c r="B71" s="11">
        <v>1.8188728019595146E-2</v>
      </c>
      <c r="C71" s="13">
        <v>77227.3671875</v>
      </c>
      <c r="D71" s="13">
        <v>1404.6676025390625</v>
      </c>
      <c r="E71" s="13">
        <v>76525.03125</v>
      </c>
      <c r="F71" s="13">
        <v>1283317.875</v>
      </c>
      <c r="G71" s="16">
        <v>16.617397308349609</v>
      </c>
    </row>
    <row r="72" spans="1:7">
      <c r="A72" s="3" t="s">
        <v>84</v>
      </c>
      <c r="B72" s="11">
        <v>1.9483163952827454E-2</v>
      </c>
      <c r="C72" s="13">
        <v>75822.703125</v>
      </c>
      <c r="D72" s="13">
        <v>1477.26611328125</v>
      </c>
      <c r="E72" s="13">
        <v>75084.0703125</v>
      </c>
      <c r="F72" s="13">
        <v>1206792.75</v>
      </c>
      <c r="G72" s="16">
        <v>15.915981292724609</v>
      </c>
    </row>
    <row r="73" spans="1:7">
      <c r="A73" s="3" t="s">
        <v>85</v>
      </c>
      <c r="B73" s="11">
        <v>2.0990420132875443E-2</v>
      </c>
      <c r="C73" s="13">
        <v>74345.4375</v>
      </c>
      <c r="D73" s="13">
        <v>1560.5419921875</v>
      </c>
      <c r="E73" s="13">
        <v>73565.171875</v>
      </c>
      <c r="F73" s="13">
        <v>1131708.75</v>
      </c>
      <c r="G73" s="16">
        <v>15.222302436828613</v>
      </c>
    </row>
    <row r="74" spans="1:7">
      <c r="A74" s="3" t="s">
        <v>86</v>
      </c>
      <c r="B74" s="11">
        <v>2.2447997704148293E-2</v>
      </c>
      <c r="C74" s="13">
        <v>72784.8984375</v>
      </c>
      <c r="D74" s="13">
        <v>1633.875244140625</v>
      </c>
      <c r="E74" s="13">
        <v>71967.9609375</v>
      </c>
      <c r="F74" s="13">
        <v>1058143.5</v>
      </c>
      <c r="G74" s="16">
        <v>14.537954330444336</v>
      </c>
    </row>
    <row r="75" spans="1:7">
      <c r="A75" s="3" t="s">
        <v>87</v>
      </c>
      <c r="B75" s="11">
        <v>2.4630911648273468E-2</v>
      </c>
      <c r="C75" s="13">
        <v>71151.0234375</v>
      </c>
      <c r="D75" s="13">
        <v>1752.5145263671875</v>
      </c>
      <c r="E75" s="13">
        <v>70274.765625</v>
      </c>
      <c r="F75" s="13">
        <v>986175.5625</v>
      </c>
      <c r="G75" s="16">
        <v>13.86031436920166</v>
      </c>
    </row>
    <row r="76" spans="1:7">
      <c r="A76" s="3" t="s">
        <v>88</v>
      </c>
      <c r="B76" s="11">
        <v>2.6569554582238197E-2</v>
      </c>
      <c r="C76" s="13">
        <v>69398.5078125</v>
      </c>
      <c r="D76" s="13">
        <v>1843.887451171875</v>
      </c>
      <c r="E76" s="13">
        <v>68476.5625</v>
      </c>
      <c r="F76" s="13">
        <v>915900.8125</v>
      </c>
      <c r="G76" s="16">
        <v>13.197701454162598</v>
      </c>
    </row>
    <row r="77" spans="1:7">
      <c r="A77" s="3" t="s">
        <v>89</v>
      </c>
      <c r="B77" s="11">
        <v>2.9040491208434105E-2</v>
      </c>
      <c r="C77" s="13">
        <v>67554.6171875</v>
      </c>
      <c r="D77" s="13">
        <v>1961.8192138671875</v>
      </c>
      <c r="E77" s="13">
        <v>66573.703125</v>
      </c>
      <c r="F77" s="13">
        <v>847424.25</v>
      </c>
      <c r="G77" s="16">
        <v>12.544282913208008</v>
      </c>
    </row>
    <row r="78" spans="1:7">
      <c r="A78" s="3" t="s">
        <v>90</v>
      </c>
      <c r="B78" s="11">
        <v>3.153933584690094E-2</v>
      </c>
      <c r="C78" s="13">
        <v>65592.796875</v>
      </c>
      <c r="D78" s="13">
        <v>2068.753173828125</v>
      </c>
      <c r="E78" s="13">
        <v>64558.421875</v>
      </c>
      <c r="F78" s="13">
        <v>780850.5625</v>
      </c>
      <c r="G78" s="16">
        <v>11.90451717376709</v>
      </c>
    </row>
    <row r="79" spans="1:7">
      <c r="A79" s="3" t="s">
        <v>91</v>
      </c>
      <c r="B79" s="11">
        <v>3.4644465893507004E-2</v>
      </c>
      <c r="C79" s="13">
        <v>63524.04296875</v>
      </c>
      <c r="D79" s="13">
        <v>2200.756591796875</v>
      </c>
      <c r="E79" s="13">
        <v>62423.6640625</v>
      </c>
      <c r="F79" s="13">
        <v>716292.125</v>
      </c>
      <c r="G79" s="16">
        <v>11.275921821594238</v>
      </c>
    </row>
    <row r="80" spans="1:7">
      <c r="A80" s="3" t="s">
        <v>92</v>
      </c>
      <c r="B80" s="11">
        <v>3.8148298859596252E-2</v>
      </c>
      <c r="C80" s="13">
        <v>61323.28515625</v>
      </c>
      <c r="D80" s="13">
        <v>2339.37890625</v>
      </c>
      <c r="E80" s="13">
        <v>60153.59375</v>
      </c>
      <c r="F80" s="13">
        <v>653868.5</v>
      </c>
      <c r="G80" s="16">
        <v>10.662646293640137</v>
      </c>
    </row>
    <row r="81" spans="1:7">
      <c r="A81" s="3" t="s">
        <v>93</v>
      </c>
      <c r="B81" s="11">
        <v>4.2249701917171478E-2</v>
      </c>
      <c r="C81" s="13">
        <v>58983.90625</v>
      </c>
      <c r="D81" s="13">
        <v>2492.052490234375</v>
      </c>
      <c r="E81" s="13">
        <v>57737.8828125</v>
      </c>
      <c r="F81" s="13">
        <v>593714.875</v>
      </c>
      <c r="G81" s="16">
        <v>10.065710067749023</v>
      </c>
    </row>
    <row r="82" spans="1:7">
      <c r="A82" s="3" t="s">
        <v>94</v>
      </c>
      <c r="B82" s="11">
        <v>4.6521790325641632E-2</v>
      </c>
      <c r="C82" s="13">
        <v>56491.85546875</v>
      </c>
      <c r="D82" s="13">
        <v>2628.102294921875</v>
      </c>
      <c r="E82" s="13">
        <v>55177.8046875</v>
      </c>
      <c r="F82" s="13">
        <v>535977</v>
      </c>
      <c r="G82" s="16">
        <v>9.4876861572265625</v>
      </c>
    </row>
    <row r="83" spans="1:7">
      <c r="A83" s="3" t="s">
        <v>95</v>
      </c>
      <c r="B83" s="11">
        <v>5.1400776952505112E-2</v>
      </c>
      <c r="C83" s="13">
        <v>53863.75390625</v>
      </c>
      <c r="D83" s="13">
        <v>2768.638916015625</v>
      </c>
      <c r="E83" s="13">
        <v>52479.43359375</v>
      </c>
      <c r="F83" s="13">
        <v>480799.1875</v>
      </c>
      <c r="G83" s="16">
        <v>8.9262104034423828</v>
      </c>
    </row>
    <row r="84" spans="1:7">
      <c r="A84" s="3" t="s">
        <v>96</v>
      </c>
      <c r="B84" s="11">
        <v>5.678277462720871E-2</v>
      </c>
      <c r="C84" s="13">
        <v>51095.11328125</v>
      </c>
      <c r="D84" s="13">
        <v>2901.322265625</v>
      </c>
      <c r="E84" s="13">
        <v>49644.453125</v>
      </c>
      <c r="F84" s="13">
        <v>428319.75</v>
      </c>
      <c r="G84" s="16">
        <v>8.3827924728393555</v>
      </c>
    </row>
    <row r="85" spans="1:7">
      <c r="A85" s="3" t="s">
        <v>97</v>
      </c>
      <c r="B85" s="11">
        <v>6.2514141201972961E-2</v>
      </c>
      <c r="C85" s="13">
        <v>48193.7890625</v>
      </c>
      <c r="D85" s="13">
        <v>3012.793212890625</v>
      </c>
      <c r="E85" s="13">
        <v>46687.390625</v>
      </c>
      <c r="F85" s="13">
        <v>378675.3125</v>
      </c>
      <c r="G85" s="16">
        <v>7.8573465347290039</v>
      </c>
    </row>
    <row r="86" spans="1:7">
      <c r="A86" s="3" t="s">
        <v>98</v>
      </c>
      <c r="B86" s="11">
        <v>6.9451943039894104E-2</v>
      </c>
      <c r="C86" s="13">
        <v>45180.99609375</v>
      </c>
      <c r="D86" s="13">
        <v>3137.907958984375</v>
      </c>
      <c r="E86" s="13">
        <v>43612.04296875</v>
      </c>
      <c r="F86" s="13">
        <v>331987.90625</v>
      </c>
      <c r="G86" s="16">
        <v>7.3479547500610352</v>
      </c>
    </row>
    <row r="87" spans="1:7">
      <c r="A87" s="3" t="s">
        <v>99</v>
      </c>
      <c r="B87" s="11">
        <v>7.7621564269065857E-2</v>
      </c>
      <c r="C87" s="13">
        <v>42043.08984375</v>
      </c>
      <c r="D87" s="13">
        <v>3263.450439453125</v>
      </c>
      <c r="E87" s="13">
        <v>40411.3671875</v>
      </c>
      <c r="F87" s="13">
        <v>288375.875</v>
      </c>
      <c r="G87" s="16">
        <v>6.8590550422668457</v>
      </c>
    </row>
    <row r="88" spans="1:7">
      <c r="A88" s="3" t="s">
        <v>100</v>
      </c>
      <c r="B88" s="11">
        <v>8.6155369877815247E-2</v>
      </c>
      <c r="C88" s="13">
        <v>38779.640625</v>
      </c>
      <c r="D88" s="13">
        <v>3341.07421875</v>
      </c>
      <c r="E88" s="13">
        <v>37109.1015625</v>
      </c>
      <c r="F88" s="13">
        <v>247964.5</v>
      </c>
      <c r="G88" s="16">
        <v>6.3941926956176758</v>
      </c>
    </row>
    <row r="89" spans="1:7">
      <c r="A89" s="3" t="s">
        <v>101</v>
      </c>
      <c r="B89" s="11">
        <v>9.5450498163700104E-2</v>
      </c>
      <c r="C89" s="13">
        <v>35438.56640625</v>
      </c>
      <c r="D89" s="13">
        <v>3382.62890625</v>
      </c>
      <c r="E89" s="13">
        <v>33747.25</v>
      </c>
      <c r="F89" s="13">
        <v>210855.40625</v>
      </c>
      <c r="G89" s="16">
        <v>5.949885368347168</v>
      </c>
    </row>
    <row r="90" spans="1:7">
      <c r="A90" s="3" t="s">
        <v>102</v>
      </c>
      <c r="B90" s="11">
        <v>0.10578827559947968</v>
      </c>
      <c r="C90" s="13">
        <v>32055.9375</v>
      </c>
      <c r="D90" s="13">
        <v>3391.142333984375</v>
      </c>
      <c r="E90" s="13">
        <v>30360.3671875</v>
      </c>
      <c r="F90" s="13">
        <v>177108.15625</v>
      </c>
      <c r="G90" s="16">
        <v>5.5249719619750977</v>
      </c>
    </row>
    <row r="91" spans="1:7">
      <c r="A91" s="3" t="s">
        <v>103</v>
      </c>
      <c r="B91" s="11">
        <v>0.11852699518203735</v>
      </c>
      <c r="C91" s="13">
        <v>28664.794921875</v>
      </c>
      <c r="D91" s="13">
        <v>3397.552001953125</v>
      </c>
      <c r="E91" s="13">
        <v>26966.01953125</v>
      </c>
      <c r="F91" s="13">
        <v>146747.78125</v>
      </c>
      <c r="G91" s="16">
        <v>5.1194429397583008</v>
      </c>
    </row>
    <row r="92" spans="1:7">
      <c r="A92" s="3" t="s">
        <v>104</v>
      </c>
      <c r="B92" s="11">
        <v>0.13243746757507324</v>
      </c>
      <c r="C92" s="13">
        <v>25267.2421875</v>
      </c>
      <c r="D92" s="13">
        <v>3346.32958984375</v>
      </c>
      <c r="E92" s="13">
        <v>23594.078125</v>
      </c>
      <c r="F92" s="13">
        <v>119781.765625</v>
      </c>
      <c r="G92" s="16">
        <v>4.7405953407287598</v>
      </c>
    </row>
    <row r="93" spans="1:7">
      <c r="A93" s="3" t="s">
        <v>105</v>
      </c>
      <c r="B93" s="11">
        <v>0.14754107594490051</v>
      </c>
      <c r="C93" s="13">
        <v>21920.912109375</v>
      </c>
      <c r="D93" s="13">
        <v>3234.23486328125</v>
      </c>
      <c r="E93" s="13">
        <v>20303.794921875</v>
      </c>
      <c r="F93" s="13">
        <v>96187.6875</v>
      </c>
      <c r="G93" s="16">
        <v>4.387941837310791</v>
      </c>
    </row>
    <row r="94" spans="1:7">
      <c r="A94" s="3" t="s">
        <v>106</v>
      </c>
      <c r="B94" s="11">
        <v>0.16383889317512512</v>
      </c>
      <c r="C94" s="13">
        <v>18686.677734375</v>
      </c>
      <c r="D94" s="13">
        <v>3061.6044921875</v>
      </c>
      <c r="E94" s="13">
        <v>17155.875</v>
      </c>
      <c r="F94" s="13">
        <v>75883.8984375</v>
      </c>
      <c r="G94" s="16">
        <v>4.0608553886413574</v>
      </c>
    </row>
    <row r="95" spans="1:7">
      <c r="A95" s="3" t="s">
        <v>107</v>
      </c>
      <c r="B95" s="11">
        <v>0.18130825459957123</v>
      </c>
      <c r="C95" s="13">
        <v>15625.0732421875</v>
      </c>
      <c r="D95" s="13">
        <v>2832.954833984375</v>
      </c>
      <c r="E95" s="13">
        <v>14208.595703125</v>
      </c>
      <c r="F95" s="13">
        <v>58728.01953125</v>
      </c>
      <c r="G95" s="16">
        <v>3.7585756778717041</v>
      </c>
    </row>
    <row r="96" spans="1:7">
      <c r="A96" s="3" t="s">
        <v>108</v>
      </c>
      <c r="B96" s="11">
        <v>0.19989974796772003</v>
      </c>
      <c r="C96" s="13">
        <v>12792.1181640625</v>
      </c>
      <c r="D96" s="13">
        <v>2557.14111328125</v>
      </c>
      <c r="E96" s="13">
        <v>11513.546875</v>
      </c>
      <c r="F96" s="13">
        <v>44519.42578125</v>
      </c>
      <c r="G96" s="16">
        <v>3.4802231788635254</v>
      </c>
    </row>
    <row r="97" spans="1:7">
      <c r="A97" s="3" t="s">
        <v>109</v>
      </c>
      <c r="B97" s="11">
        <v>0.21953538060188293</v>
      </c>
      <c r="C97" s="13">
        <v>10234.9765625</v>
      </c>
      <c r="D97" s="13">
        <v>2246.939453125</v>
      </c>
      <c r="E97" s="13">
        <v>9111.5068359375</v>
      </c>
      <c r="F97" s="13">
        <v>33005.87890625</v>
      </c>
      <c r="G97" s="16">
        <v>3.2248122692108154</v>
      </c>
    </row>
    <row r="98" spans="1:7">
      <c r="A98" s="3" t="s">
        <v>110</v>
      </c>
      <c r="B98" s="11">
        <v>0.24010759592056274</v>
      </c>
      <c r="C98" s="13">
        <v>7988.037109375</v>
      </c>
      <c r="D98" s="13">
        <v>1917.9884033203125</v>
      </c>
      <c r="E98" s="13">
        <v>7029.04296875</v>
      </c>
      <c r="F98" s="13">
        <v>23894.37109375</v>
      </c>
      <c r="G98" s="16">
        <v>2.9912693500518799</v>
      </c>
    </row>
    <row r="99" spans="1:7">
      <c r="A99" s="3" t="s">
        <v>111</v>
      </c>
      <c r="B99" s="11">
        <v>0.26148021221160889</v>
      </c>
      <c r="C99" s="13">
        <v>6070.048828125</v>
      </c>
      <c r="D99" s="13">
        <v>1587.1976318359375</v>
      </c>
      <c r="E99" s="13">
        <v>5276.4501953125</v>
      </c>
      <c r="F99" s="13">
        <v>16865.328125</v>
      </c>
      <c r="G99" s="16">
        <v>2.7784502506256104</v>
      </c>
    </row>
    <row r="100" spans="1:7">
      <c r="A100" s="3" t="s">
        <v>112</v>
      </c>
      <c r="B100" s="11">
        <v>0.28349092602729797</v>
      </c>
      <c r="C100" s="13">
        <v>4482.85107421875</v>
      </c>
      <c r="D100" s="13">
        <v>1270.84765625</v>
      </c>
      <c r="E100" s="13">
        <v>3847.42724609375</v>
      </c>
      <c r="F100" s="13">
        <v>11588.8779296875</v>
      </c>
      <c r="G100" s="16">
        <v>2.5851578712463379</v>
      </c>
    </row>
    <row r="101" spans="1:7">
      <c r="A101" s="3" t="s">
        <v>113</v>
      </c>
      <c r="B101" s="11">
        <v>0.30595538020133972</v>
      </c>
      <c r="C101" s="13">
        <v>3212.00341796875</v>
      </c>
      <c r="D101" s="13">
        <v>982.729736328125</v>
      </c>
      <c r="E101" s="13">
        <v>2720.638671875</v>
      </c>
      <c r="F101" s="13">
        <v>7741.45068359375</v>
      </c>
      <c r="G101" s="16">
        <v>2.4101626873016357</v>
      </c>
    </row>
    <row r="102" spans="1:7">
      <c r="A102" s="3" t="s">
        <v>114</v>
      </c>
      <c r="B102" s="11">
        <v>0.32867306470870972</v>
      </c>
      <c r="C102" s="13">
        <v>2229.273681640625</v>
      </c>
      <c r="D102" s="13">
        <v>732.70220947265625</v>
      </c>
      <c r="E102" s="13">
        <v>1862.922607421875</v>
      </c>
      <c r="F102" s="13">
        <v>5020.81201171875</v>
      </c>
      <c r="G102" s="16">
        <v>2.2522187232971191</v>
      </c>
    </row>
    <row r="103" spans="1:7">
      <c r="A103" s="3" t="s">
        <v>115</v>
      </c>
      <c r="B103" s="11">
        <v>0.35143411159515381</v>
      </c>
      <c r="C103" s="13">
        <v>1496.571533203125</v>
      </c>
      <c r="D103" s="13">
        <v>525.9462890625</v>
      </c>
      <c r="E103" s="13">
        <v>1233.598388671875</v>
      </c>
      <c r="F103" s="13">
        <v>3157.8896484375</v>
      </c>
      <c r="G103" s="16">
        <v>2.1100826263427734</v>
      </c>
    </row>
    <row r="104" spans="1:7">
      <c r="A104" s="4" t="s">
        <v>0</v>
      </c>
      <c r="B104" s="12">
        <v>1</v>
      </c>
      <c r="C104" s="14">
        <v>970.625244140625</v>
      </c>
      <c r="D104" s="14">
        <v>970.625244140625</v>
      </c>
      <c r="E104" s="14">
        <v>1924.2911376953125</v>
      </c>
      <c r="F104" s="14">
        <v>1924.2911376953125</v>
      </c>
      <c r="G104" s="17">
        <v>1.9825273752212524</v>
      </c>
    </row>
    <row r="105" spans="1:7" ht="14.5" customHeight="1">
      <c r="A105" s="70" t="s">
        <v>8</v>
      </c>
      <c r="B105" s="70"/>
      <c r="C105" s="70"/>
      <c r="D105" s="70"/>
      <c r="E105" s="70"/>
      <c r="F105" s="70"/>
      <c r="G105" s="70"/>
    </row>
    <row r="106" spans="1:7">
      <c r="A106" s="1"/>
      <c r="B106" s="1"/>
      <c r="C106" s="1"/>
      <c r="D106" s="1"/>
      <c r="E106" s="1"/>
      <c r="F106" s="1"/>
      <c r="G106" s="1"/>
    </row>
  </sheetData>
  <mergeCells count="3">
    <mergeCell ref="A105:G105"/>
    <mergeCell ref="A1:G1"/>
    <mergeCell ref="A2:A3"/>
  </mergeCells>
  <pageMargins left="0.7" right="0.45" top="0.75" bottom="0.75" header="0.3" footer="0.3"/>
  <pageSetup scale="93" orientation="portrait" r:id="rId1"/>
  <rowBreaks count="2" manualBreakCount="2">
    <brk id="46" max="16383" man="1"/>
    <brk id="8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58"/>
  <sheetViews>
    <sheetView workbookViewId="0">
      <pane xSplit="2" ySplit="1" topLeftCell="C73" activePane="bottomRight" state="frozen"/>
      <selection pane="topRight" activeCell="C1" sqref="C1"/>
      <selection pane="bottomLeft" activeCell="A2" sqref="A2"/>
      <selection pane="bottomRight" activeCell="H87" sqref="H87"/>
    </sheetView>
  </sheetViews>
  <sheetFormatPr baseColWidth="10" defaultColWidth="8.83203125" defaultRowHeight="15"/>
  <cols>
    <col min="1" max="1" width="27.5" customWidth="1"/>
    <col min="2" max="2" width="15.83203125" bestFit="1" customWidth="1"/>
    <col min="3" max="3" width="21" bestFit="1" customWidth="1"/>
    <col min="4" max="4" width="7.1640625" bestFit="1" customWidth="1"/>
    <col min="5" max="6" width="14.33203125" bestFit="1" customWidth="1"/>
    <col min="7" max="7" width="24.83203125" customWidth="1"/>
    <col min="8" max="8" width="23.5" customWidth="1"/>
    <col min="11" max="11" width="14.33203125" bestFit="1" customWidth="1"/>
    <col min="12" max="12" width="12.83203125" bestFit="1" customWidth="1"/>
    <col min="13" max="13" width="12" bestFit="1" customWidth="1"/>
  </cols>
  <sheetData>
    <row r="1" spans="1:8">
      <c r="A1" t="s">
        <v>226</v>
      </c>
      <c r="B1" t="s">
        <v>116</v>
      </c>
      <c r="C1" t="s">
        <v>117</v>
      </c>
      <c r="D1" t="s">
        <v>118</v>
      </c>
      <c r="E1" t="s">
        <v>119</v>
      </c>
      <c r="F1" t="s">
        <v>120</v>
      </c>
      <c r="G1" t="s">
        <v>278</v>
      </c>
      <c r="H1" t="s">
        <v>279</v>
      </c>
    </row>
    <row r="2" spans="1:8">
      <c r="B2" t="s">
        <v>121</v>
      </c>
      <c r="C2">
        <v>0</v>
      </c>
      <c r="D2">
        <v>9</v>
      </c>
      <c r="E2">
        <v>2015150</v>
      </c>
      <c r="F2" t="s">
        <v>122</v>
      </c>
      <c r="G2" s="23">
        <f>IF(F2="Unreliable",D2/E2*100000,F2)</f>
        <v>0.44661687715554671</v>
      </c>
      <c r="H2" s="23">
        <f>IF(F2="Unreliable",D2/E2*100000,F2)</f>
        <v>0.44661687715554671</v>
      </c>
    </row>
    <row r="3" spans="1:8">
      <c r="B3" t="s">
        <v>123</v>
      </c>
      <c r="C3">
        <v>1</v>
      </c>
      <c r="D3">
        <v>9</v>
      </c>
      <c r="E3">
        <v>2031718</v>
      </c>
      <c r="F3" t="s">
        <v>122</v>
      </c>
      <c r="G3" s="23">
        <f t="shared" ref="G3:G66" si="0">IF(F3="Unreliable",D3/E3*100000,F3)</f>
        <v>0.44297486166879463</v>
      </c>
      <c r="H3" s="23">
        <f t="shared" ref="H3:H66" si="1">IF(F3="Unreliable",D3/E3*100000,F3)</f>
        <v>0.44297486166879463</v>
      </c>
    </row>
    <row r="4" spans="1:8">
      <c r="B4" t="s">
        <v>124</v>
      </c>
      <c r="C4">
        <v>2</v>
      </c>
      <c r="D4">
        <v>3</v>
      </c>
      <c r="E4">
        <v>2056625</v>
      </c>
      <c r="F4" t="s">
        <v>122</v>
      </c>
      <c r="G4" s="23">
        <f t="shared" si="0"/>
        <v>0.14587005409347839</v>
      </c>
      <c r="H4" s="23">
        <f t="shared" si="1"/>
        <v>0.14587005409347839</v>
      </c>
    </row>
    <row r="5" spans="1:8">
      <c r="B5" t="s">
        <v>125</v>
      </c>
      <c r="C5">
        <v>3</v>
      </c>
      <c r="D5">
        <v>3</v>
      </c>
      <c r="E5">
        <v>2050474</v>
      </c>
      <c r="F5" t="s">
        <v>122</v>
      </c>
      <c r="G5" s="23">
        <f t="shared" si="0"/>
        <v>0.14630763423481596</v>
      </c>
      <c r="H5" s="23">
        <f t="shared" si="1"/>
        <v>0.14630763423481596</v>
      </c>
    </row>
    <row r="6" spans="1:8">
      <c r="B6" t="s">
        <v>126</v>
      </c>
      <c r="C6">
        <v>4</v>
      </c>
      <c r="D6">
        <v>2</v>
      </c>
      <c r="E6">
        <v>2042001</v>
      </c>
      <c r="F6" t="s">
        <v>122</v>
      </c>
      <c r="G6" s="23">
        <f t="shared" si="0"/>
        <v>9.7943144983768382E-2</v>
      </c>
      <c r="H6" s="23">
        <f t="shared" si="1"/>
        <v>9.7943144983768382E-2</v>
      </c>
    </row>
    <row r="7" spans="1:8">
      <c r="B7" t="s">
        <v>127</v>
      </c>
      <c r="C7">
        <v>5</v>
      </c>
      <c r="D7">
        <v>0</v>
      </c>
      <c r="E7">
        <v>2045050</v>
      </c>
      <c r="F7" t="s">
        <v>122</v>
      </c>
      <c r="G7" s="23">
        <f t="shared" si="0"/>
        <v>0</v>
      </c>
      <c r="H7" s="23">
        <f t="shared" si="1"/>
        <v>0</v>
      </c>
    </row>
    <row r="8" spans="1:8">
      <c r="B8" t="s">
        <v>128</v>
      </c>
      <c r="C8">
        <v>6</v>
      </c>
      <c r="D8">
        <v>1</v>
      </c>
      <c r="E8">
        <v>2069201</v>
      </c>
      <c r="F8" t="s">
        <v>122</v>
      </c>
      <c r="G8" s="23">
        <f t="shared" si="0"/>
        <v>4.8327832820494486E-2</v>
      </c>
      <c r="H8" s="23">
        <f t="shared" si="1"/>
        <v>4.8327832820494486E-2</v>
      </c>
    </row>
    <row r="9" spans="1:8">
      <c r="B9" t="s">
        <v>129</v>
      </c>
      <c r="C9">
        <v>7</v>
      </c>
      <c r="D9">
        <v>0</v>
      </c>
      <c r="E9">
        <v>2063003</v>
      </c>
      <c r="F9" t="s">
        <v>122</v>
      </c>
      <c r="G9" s="23">
        <f t="shared" si="0"/>
        <v>0</v>
      </c>
      <c r="H9" s="23">
        <f t="shared" si="1"/>
        <v>0</v>
      </c>
    </row>
    <row r="10" spans="1:8">
      <c r="B10" t="s">
        <v>130</v>
      </c>
      <c r="C10">
        <v>8</v>
      </c>
      <c r="D10">
        <v>1</v>
      </c>
      <c r="E10">
        <v>2062172</v>
      </c>
      <c r="F10" t="s">
        <v>122</v>
      </c>
      <c r="G10" s="23">
        <f t="shared" si="0"/>
        <v>4.8492560271403168E-2</v>
      </c>
      <c r="H10" s="23">
        <f t="shared" si="1"/>
        <v>4.8492560271403168E-2</v>
      </c>
    </row>
    <row r="11" spans="1:8">
      <c r="B11" t="s">
        <v>131</v>
      </c>
      <c r="C11">
        <v>9</v>
      </c>
      <c r="D11">
        <v>0</v>
      </c>
      <c r="E11">
        <v>2128715</v>
      </c>
      <c r="F11" t="s">
        <v>122</v>
      </c>
      <c r="G11" s="23">
        <f t="shared" si="0"/>
        <v>0</v>
      </c>
      <c r="H11" s="23">
        <f t="shared" si="1"/>
        <v>0</v>
      </c>
    </row>
    <row r="12" spans="1:8">
      <c r="B12" t="s">
        <v>132</v>
      </c>
      <c r="C12">
        <v>10</v>
      </c>
      <c r="D12">
        <v>2</v>
      </c>
      <c r="E12">
        <v>2140682</v>
      </c>
      <c r="F12" t="s">
        <v>122</v>
      </c>
      <c r="G12" s="23">
        <f t="shared" si="0"/>
        <v>9.3428169153568816E-2</v>
      </c>
      <c r="H12" s="23">
        <f t="shared" si="1"/>
        <v>9.3428169153568816E-2</v>
      </c>
    </row>
    <row r="13" spans="1:8">
      <c r="B13" t="s">
        <v>133</v>
      </c>
      <c r="C13">
        <v>11</v>
      </c>
      <c r="D13">
        <v>1</v>
      </c>
      <c r="E13">
        <v>2123819</v>
      </c>
      <c r="F13" t="s">
        <v>122</v>
      </c>
      <c r="G13" s="23">
        <f t="shared" si="0"/>
        <v>4.7084991705978713E-2</v>
      </c>
      <c r="H13" s="23">
        <f t="shared" si="1"/>
        <v>4.7084991705978713E-2</v>
      </c>
    </row>
    <row r="14" spans="1:8">
      <c r="B14" t="s">
        <v>134</v>
      </c>
      <c r="C14">
        <v>12</v>
      </c>
      <c r="D14">
        <v>2</v>
      </c>
      <c r="E14">
        <v>2116260</v>
      </c>
      <c r="F14" t="s">
        <v>122</v>
      </c>
      <c r="G14" s="23">
        <f t="shared" si="0"/>
        <v>9.4506346101140698E-2</v>
      </c>
      <c r="H14" s="23">
        <f t="shared" si="1"/>
        <v>9.4506346101140698E-2</v>
      </c>
    </row>
    <row r="15" spans="1:8">
      <c r="B15" t="s">
        <v>135</v>
      </c>
      <c r="C15">
        <v>13</v>
      </c>
      <c r="D15">
        <v>2</v>
      </c>
      <c r="E15">
        <v>2119558</v>
      </c>
      <c r="F15" t="s">
        <v>122</v>
      </c>
      <c r="G15" s="23">
        <f t="shared" si="0"/>
        <v>9.4359295664473444E-2</v>
      </c>
      <c r="H15" s="23">
        <f t="shared" si="1"/>
        <v>9.4359295664473444E-2</v>
      </c>
    </row>
    <row r="16" spans="1:8">
      <c r="B16" t="s">
        <v>136</v>
      </c>
      <c r="C16">
        <v>14</v>
      </c>
      <c r="D16">
        <v>6</v>
      </c>
      <c r="E16">
        <v>2104753</v>
      </c>
      <c r="F16" t="s">
        <v>122</v>
      </c>
      <c r="G16" s="23">
        <f t="shared" si="0"/>
        <v>0.28506907936465703</v>
      </c>
      <c r="H16" s="23">
        <f t="shared" si="1"/>
        <v>0.28506907936465703</v>
      </c>
    </row>
    <row r="17" spans="2:8">
      <c r="B17" t="s">
        <v>137</v>
      </c>
      <c r="C17">
        <v>15</v>
      </c>
      <c r="D17">
        <v>6</v>
      </c>
      <c r="E17">
        <v>2098809</v>
      </c>
      <c r="F17" t="s">
        <v>122</v>
      </c>
      <c r="G17" s="23">
        <f t="shared" si="0"/>
        <v>0.28587641848305395</v>
      </c>
      <c r="H17" s="23">
        <f t="shared" si="1"/>
        <v>0.28587641848305395</v>
      </c>
    </row>
    <row r="18" spans="2:8">
      <c r="B18" t="s">
        <v>138</v>
      </c>
      <c r="C18">
        <v>16</v>
      </c>
      <c r="D18">
        <v>10</v>
      </c>
      <c r="E18">
        <v>2155909</v>
      </c>
      <c r="F18" t="s">
        <v>122</v>
      </c>
      <c r="G18" s="23">
        <f t="shared" si="0"/>
        <v>0.46384147011770904</v>
      </c>
      <c r="H18" s="23">
        <f t="shared" si="1"/>
        <v>0.46384147011770904</v>
      </c>
    </row>
    <row r="19" spans="2:8">
      <c r="B19" t="s">
        <v>139</v>
      </c>
      <c r="C19">
        <v>17</v>
      </c>
      <c r="D19">
        <v>37</v>
      </c>
      <c r="E19">
        <v>2197871</v>
      </c>
      <c r="F19">
        <v>1.6834</v>
      </c>
      <c r="G19">
        <f t="shared" si="0"/>
        <v>1.6834</v>
      </c>
      <c r="H19">
        <f t="shared" si="1"/>
        <v>1.6834</v>
      </c>
    </row>
    <row r="20" spans="2:8">
      <c r="B20" t="s">
        <v>140</v>
      </c>
      <c r="C20">
        <v>18</v>
      </c>
      <c r="D20">
        <v>92</v>
      </c>
      <c r="E20">
        <v>2169468</v>
      </c>
      <c r="F20">
        <v>4.2407000000000004</v>
      </c>
      <c r="G20">
        <f t="shared" si="0"/>
        <v>4.2407000000000004</v>
      </c>
      <c r="H20">
        <f t="shared" si="1"/>
        <v>4.2407000000000004</v>
      </c>
    </row>
    <row r="21" spans="2:8">
      <c r="B21" t="s">
        <v>141</v>
      </c>
      <c r="C21">
        <v>19</v>
      </c>
      <c r="D21">
        <v>203</v>
      </c>
      <c r="E21">
        <v>2178434</v>
      </c>
      <c r="F21">
        <v>9.3186</v>
      </c>
      <c r="G21">
        <f t="shared" si="0"/>
        <v>9.3186</v>
      </c>
      <c r="H21">
        <f t="shared" si="1"/>
        <v>9.3186</v>
      </c>
    </row>
    <row r="22" spans="2:8">
      <c r="B22" t="s">
        <v>142</v>
      </c>
      <c r="C22">
        <v>20</v>
      </c>
      <c r="D22">
        <v>300</v>
      </c>
      <c r="E22">
        <v>2187409</v>
      </c>
      <c r="F22">
        <v>13.7149</v>
      </c>
      <c r="G22">
        <f t="shared" si="0"/>
        <v>13.7149</v>
      </c>
      <c r="H22">
        <f t="shared" si="1"/>
        <v>13.7149</v>
      </c>
    </row>
    <row r="23" spans="2:8">
      <c r="B23" t="s">
        <v>143</v>
      </c>
      <c r="C23">
        <v>21</v>
      </c>
      <c r="D23">
        <v>361</v>
      </c>
      <c r="E23">
        <v>2213975</v>
      </c>
      <c r="F23">
        <v>16.305499999999999</v>
      </c>
      <c r="G23">
        <f t="shared" si="0"/>
        <v>16.305499999999999</v>
      </c>
      <c r="H23">
        <f t="shared" si="1"/>
        <v>16.305499999999999</v>
      </c>
    </row>
    <row r="24" spans="2:8">
      <c r="B24" t="s">
        <v>144</v>
      </c>
      <c r="C24">
        <v>22</v>
      </c>
      <c r="D24">
        <v>502</v>
      </c>
      <c r="E24">
        <v>2270148</v>
      </c>
      <c r="F24">
        <v>22.113099999999999</v>
      </c>
      <c r="G24">
        <f t="shared" si="0"/>
        <v>22.113099999999999</v>
      </c>
      <c r="H24">
        <f t="shared" si="1"/>
        <v>22.113099999999999</v>
      </c>
    </row>
    <row r="25" spans="2:8">
      <c r="B25" t="s">
        <v>145</v>
      </c>
      <c r="C25">
        <v>23</v>
      </c>
      <c r="D25">
        <v>642</v>
      </c>
      <c r="E25">
        <v>2318784</v>
      </c>
      <c r="F25">
        <v>27.686900000000001</v>
      </c>
      <c r="G25">
        <f t="shared" si="0"/>
        <v>27.686900000000001</v>
      </c>
      <c r="H25">
        <f t="shared" si="1"/>
        <v>27.686900000000001</v>
      </c>
    </row>
    <row r="26" spans="2:8">
      <c r="B26" t="s">
        <v>146</v>
      </c>
      <c r="C26">
        <v>24</v>
      </c>
      <c r="D26">
        <v>732</v>
      </c>
      <c r="E26">
        <v>2358826</v>
      </c>
      <c r="F26">
        <v>31.032399999999999</v>
      </c>
      <c r="G26">
        <f t="shared" si="0"/>
        <v>31.032399999999999</v>
      </c>
      <c r="H26">
        <f t="shared" si="1"/>
        <v>31.032399999999999</v>
      </c>
    </row>
    <row r="27" spans="2:8">
      <c r="B27" t="s">
        <v>147</v>
      </c>
      <c r="C27">
        <v>25</v>
      </c>
      <c r="D27">
        <v>791</v>
      </c>
      <c r="E27">
        <v>2413370</v>
      </c>
      <c r="F27">
        <v>32.775700000000001</v>
      </c>
      <c r="G27">
        <f t="shared" si="0"/>
        <v>32.775700000000001</v>
      </c>
      <c r="H27">
        <f t="shared" si="1"/>
        <v>32.775700000000001</v>
      </c>
    </row>
    <row r="28" spans="2:8">
      <c r="B28" t="s">
        <v>148</v>
      </c>
      <c r="C28">
        <v>26</v>
      </c>
      <c r="D28">
        <v>906</v>
      </c>
      <c r="E28">
        <v>2443974</v>
      </c>
      <c r="F28">
        <v>37.070799999999998</v>
      </c>
      <c r="G28">
        <f t="shared" si="0"/>
        <v>37.070799999999998</v>
      </c>
      <c r="H28">
        <f t="shared" si="1"/>
        <v>37.070799999999998</v>
      </c>
    </row>
    <row r="29" spans="2:8">
      <c r="B29" t="s">
        <v>149</v>
      </c>
      <c r="C29">
        <v>27</v>
      </c>
      <c r="D29">
        <v>979</v>
      </c>
      <c r="E29">
        <v>2432679</v>
      </c>
      <c r="F29">
        <v>40.243699999999997</v>
      </c>
      <c r="G29">
        <f t="shared" si="0"/>
        <v>40.243699999999997</v>
      </c>
      <c r="H29">
        <f t="shared" si="1"/>
        <v>40.243699999999997</v>
      </c>
    </row>
    <row r="30" spans="2:8">
      <c r="B30" t="s">
        <v>150</v>
      </c>
      <c r="C30">
        <v>28</v>
      </c>
      <c r="D30">
        <v>990</v>
      </c>
      <c r="E30">
        <v>2335023</v>
      </c>
      <c r="F30">
        <v>42.3979</v>
      </c>
      <c r="G30">
        <f t="shared" si="0"/>
        <v>42.3979</v>
      </c>
      <c r="H30">
        <f t="shared" si="1"/>
        <v>42.3979</v>
      </c>
    </row>
    <row r="31" spans="2:8">
      <c r="B31" t="s">
        <v>151</v>
      </c>
      <c r="C31">
        <v>29</v>
      </c>
      <c r="D31">
        <v>1005</v>
      </c>
      <c r="E31">
        <v>2277184</v>
      </c>
      <c r="F31">
        <v>44.133499999999998</v>
      </c>
      <c r="G31">
        <f t="shared" si="0"/>
        <v>44.133499999999998</v>
      </c>
      <c r="H31">
        <f t="shared" si="1"/>
        <v>44.133499999999998</v>
      </c>
    </row>
    <row r="32" spans="2:8">
      <c r="B32" t="s">
        <v>152</v>
      </c>
      <c r="C32">
        <v>30</v>
      </c>
      <c r="D32">
        <v>942</v>
      </c>
      <c r="E32">
        <v>2236352</v>
      </c>
      <c r="F32">
        <v>42.122199999999999</v>
      </c>
      <c r="G32">
        <f t="shared" si="0"/>
        <v>42.122199999999999</v>
      </c>
      <c r="H32">
        <f t="shared" si="1"/>
        <v>42.122199999999999</v>
      </c>
    </row>
    <row r="33" spans="2:8">
      <c r="B33" t="s">
        <v>153</v>
      </c>
      <c r="C33">
        <v>31</v>
      </c>
      <c r="D33">
        <v>976</v>
      </c>
      <c r="E33">
        <v>2241759</v>
      </c>
      <c r="F33">
        <v>43.537199999999999</v>
      </c>
      <c r="G33">
        <f t="shared" si="0"/>
        <v>43.537199999999999</v>
      </c>
      <c r="H33">
        <f t="shared" si="1"/>
        <v>43.537199999999999</v>
      </c>
    </row>
    <row r="34" spans="2:8">
      <c r="B34" t="s">
        <v>154</v>
      </c>
      <c r="C34">
        <v>32</v>
      </c>
      <c r="D34">
        <v>1017</v>
      </c>
      <c r="E34">
        <v>2248948</v>
      </c>
      <c r="F34">
        <v>45.2211</v>
      </c>
      <c r="G34">
        <f t="shared" si="0"/>
        <v>45.2211</v>
      </c>
      <c r="H34">
        <f t="shared" si="1"/>
        <v>45.2211</v>
      </c>
    </row>
    <row r="35" spans="2:8">
      <c r="B35" t="s">
        <v>155</v>
      </c>
      <c r="C35">
        <v>33</v>
      </c>
      <c r="D35">
        <v>1002</v>
      </c>
      <c r="E35">
        <v>2168114</v>
      </c>
      <c r="F35">
        <v>46.215299999999999</v>
      </c>
      <c r="G35">
        <f t="shared" si="0"/>
        <v>46.215299999999999</v>
      </c>
      <c r="H35">
        <f t="shared" si="1"/>
        <v>46.215299999999999</v>
      </c>
    </row>
    <row r="36" spans="2:8">
      <c r="B36" t="s">
        <v>156</v>
      </c>
      <c r="C36">
        <v>34</v>
      </c>
      <c r="D36">
        <v>981</v>
      </c>
      <c r="E36">
        <v>2193958</v>
      </c>
      <c r="F36">
        <v>44.713700000000003</v>
      </c>
      <c r="G36">
        <f t="shared" si="0"/>
        <v>44.713700000000003</v>
      </c>
      <c r="H36">
        <f t="shared" si="1"/>
        <v>44.713700000000003</v>
      </c>
    </row>
    <row r="37" spans="2:8">
      <c r="B37" t="s">
        <v>157</v>
      </c>
      <c r="C37">
        <v>35</v>
      </c>
      <c r="D37">
        <v>985</v>
      </c>
      <c r="E37">
        <v>2185895</v>
      </c>
      <c r="F37">
        <v>45.061599999999999</v>
      </c>
      <c r="G37">
        <f t="shared" si="0"/>
        <v>45.061599999999999</v>
      </c>
      <c r="H37">
        <f t="shared" si="1"/>
        <v>45.061599999999999</v>
      </c>
    </row>
    <row r="38" spans="2:8">
      <c r="B38" t="s">
        <v>158</v>
      </c>
      <c r="C38">
        <v>36</v>
      </c>
      <c r="D38">
        <v>940</v>
      </c>
      <c r="E38">
        <v>2156347</v>
      </c>
      <c r="F38">
        <v>43.592199999999998</v>
      </c>
      <c r="G38">
        <f t="shared" si="0"/>
        <v>43.592199999999998</v>
      </c>
      <c r="H38">
        <f t="shared" si="1"/>
        <v>43.592199999999998</v>
      </c>
    </row>
    <row r="39" spans="2:8">
      <c r="B39" t="s">
        <v>159</v>
      </c>
      <c r="C39">
        <v>37</v>
      </c>
      <c r="D39">
        <v>886</v>
      </c>
      <c r="E39">
        <v>2204181</v>
      </c>
      <c r="F39">
        <v>40.196300000000001</v>
      </c>
      <c r="G39">
        <f t="shared" si="0"/>
        <v>40.196300000000001</v>
      </c>
      <c r="H39">
        <f t="shared" si="1"/>
        <v>40.196300000000001</v>
      </c>
    </row>
    <row r="40" spans="2:8">
      <c r="B40" t="s">
        <v>160</v>
      </c>
      <c r="C40">
        <v>38</v>
      </c>
      <c r="D40">
        <v>826</v>
      </c>
      <c r="E40">
        <v>2056619</v>
      </c>
      <c r="F40">
        <v>40.162999999999997</v>
      </c>
      <c r="G40">
        <f t="shared" si="0"/>
        <v>40.162999999999997</v>
      </c>
      <c r="H40">
        <f t="shared" si="1"/>
        <v>40.162999999999997</v>
      </c>
    </row>
    <row r="41" spans="2:8">
      <c r="B41" t="s">
        <v>161</v>
      </c>
      <c r="C41">
        <v>39</v>
      </c>
      <c r="D41">
        <v>820</v>
      </c>
      <c r="E41">
        <v>2012943</v>
      </c>
      <c r="F41">
        <v>40.736400000000003</v>
      </c>
      <c r="G41">
        <f t="shared" si="0"/>
        <v>40.736400000000003</v>
      </c>
      <c r="H41">
        <f t="shared" si="1"/>
        <v>40.736400000000003</v>
      </c>
    </row>
    <row r="42" spans="2:8">
      <c r="B42" t="s">
        <v>162</v>
      </c>
      <c r="C42">
        <v>40</v>
      </c>
      <c r="D42">
        <v>718</v>
      </c>
      <c r="E42">
        <v>1985267</v>
      </c>
      <c r="F42">
        <v>36.166400000000003</v>
      </c>
      <c r="G42">
        <f t="shared" si="0"/>
        <v>36.166400000000003</v>
      </c>
      <c r="H42">
        <f t="shared" si="1"/>
        <v>36.166400000000003</v>
      </c>
    </row>
    <row r="43" spans="2:8">
      <c r="B43" t="s">
        <v>163</v>
      </c>
      <c r="C43">
        <v>41</v>
      </c>
      <c r="D43">
        <v>717</v>
      </c>
      <c r="E43">
        <v>1927055</v>
      </c>
      <c r="F43">
        <v>37.207000000000001</v>
      </c>
      <c r="G43">
        <f t="shared" si="0"/>
        <v>37.207000000000001</v>
      </c>
      <c r="H43">
        <f t="shared" si="1"/>
        <v>37.207000000000001</v>
      </c>
    </row>
    <row r="44" spans="2:8">
      <c r="B44" t="s">
        <v>164</v>
      </c>
      <c r="C44">
        <v>42</v>
      </c>
      <c r="D44">
        <v>655</v>
      </c>
      <c r="E44">
        <v>1987507</v>
      </c>
      <c r="F44">
        <v>32.9559</v>
      </c>
      <c r="G44">
        <f t="shared" si="0"/>
        <v>32.9559</v>
      </c>
      <c r="H44">
        <f t="shared" si="1"/>
        <v>32.9559</v>
      </c>
    </row>
    <row r="45" spans="2:8">
      <c r="B45" t="s">
        <v>165</v>
      </c>
      <c r="C45">
        <v>43</v>
      </c>
      <c r="D45">
        <v>626</v>
      </c>
      <c r="E45">
        <v>1916102</v>
      </c>
      <c r="F45">
        <v>32.670499999999997</v>
      </c>
      <c r="G45">
        <f t="shared" si="0"/>
        <v>32.670499999999997</v>
      </c>
      <c r="H45">
        <f t="shared" si="1"/>
        <v>32.670499999999997</v>
      </c>
    </row>
    <row r="46" spans="2:8">
      <c r="B46" t="s">
        <v>166</v>
      </c>
      <c r="C46">
        <v>44</v>
      </c>
      <c r="D46">
        <v>590</v>
      </c>
      <c r="E46">
        <v>1937184</v>
      </c>
      <c r="F46">
        <v>30.456600000000002</v>
      </c>
      <c r="G46">
        <f t="shared" si="0"/>
        <v>30.456600000000002</v>
      </c>
      <c r="H46">
        <f t="shared" si="1"/>
        <v>30.456600000000002</v>
      </c>
    </row>
    <row r="47" spans="2:8">
      <c r="B47" t="s">
        <v>167</v>
      </c>
      <c r="C47">
        <v>45</v>
      </c>
      <c r="D47">
        <v>670</v>
      </c>
      <c r="E47">
        <v>2025025</v>
      </c>
      <c r="F47">
        <v>33.085999999999999</v>
      </c>
      <c r="G47">
        <f t="shared" si="0"/>
        <v>33.085999999999999</v>
      </c>
      <c r="H47">
        <f t="shared" si="1"/>
        <v>33.085999999999999</v>
      </c>
    </row>
    <row r="48" spans="2:8">
      <c r="B48" t="s">
        <v>168</v>
      </c>
      <c r="C48">
        <v>46</v>
      </c>
      <c r="D48">
        <v>684</v>
      </c>
      <c r="E48">
        <v>2136737</v>
      </c>
      <c r="F48">
        <v>32.011400000000002</v>
      </c>
      <c r="G48">
        <f t="shared" si="0"/>
        <v>32.011400000000002</v>
      </c>
      <c r="H48">
        <f t="shared" si="1"/>
        <v>32.011400000000002</v>
      </c>
    </row>
    <row r="49" spans="2:8">
      <c r="B49" t="s">
        <v>169</v>
      </c>
      <c r="C49">
        <v>47</v>
      </c>
      <c r="D49">
        <v>725</v>
      </c>
      <c r="E49">
        <v>2169762</v>
      </c>
      <c r="F49">
        <v>33.413800000000002</v>
      </c>
      <c r="G49">
        <f t="shared" si="0"/>
        <v>33.413800000000002</v>
      </c>
      <c r="H49">
        <f t="shared" si="1"/>
        <v>33.413800000000002</v>
      </c>
    </row>
    <row r="50" spans="2:8">
      <c r="B50" t="s">
        <v>170</v>
      </c>
      <c r="C50">
        <v>48</v>
      </c>
      <c r="D50">
        <v>624</v>
      </c>
      <c r="E50">
        <v>2050739</v>
      </c>
      <c r="F50">
        <v>30.428100000000001</v>
      </c>
      <c r="G50">
        <f t="shared" si="0"/>
        <v>30.428100000000001</v>
      </c>
      <c r="H50">
        <f t="shared" si="1"/>
        <v>30.428100000000001</v>
      </c>
    </row>
    <row r="51" spans="2:8">
      <c r="B51" t="s">
        <v>171</v>
      </c>
      <c r="C51">
        <v>49</v>
      </c>
      <c r="D51">
        <v>640</v>
      </c>
      <c r="E51">
        <v>2003912</v>
      </c>
      <c r="F51">
        <v>31.9375</v>
      </c>
      <c r="G51">
        <f t="shared" si="0"/>
        <v>31.9375</v>
      </c>
      <c r="H51">
        <f t="shared" si="1"/>
        <v>31.9375</v>
      </c>
    </row>
    <row r="52" spans="2:8">
      <c r="B52" t="s">
        <v>172</v>
      </c>
      <c r="C52">
        <v>50</v>
      </c>
      <c r="D52">
        <v>613</v>
      </c>
      <c r="E52">
        <v>1997485</v>
      </c>
      <c r="F52">
        <v>30.688600000000001</v>
      </c>
      <c r="G52">
        <f t="shared" si="0"/>
        <v>30.688600000000001</v>
      </c>
      <c r="H52">
        <f t="shared" si="1"/>
        <v>30.688600000000001</v>
      </c>
    </row>
    <row r="53" spans="2:8">
      <c r="B53" t="s">
        <v>173</v>
      </c>
      <c r="C53">
        <v>51</v>
      </c>
      <c r="D53">
        <v>652</v>
      </c>
      <c r="E53">
        <v>2032379</v>
      </c>
      <c r="F53">
        <v>32.080599999999997</v>
      </c>
      <c r="G53">
        <f t="shared" si="0"/>
        <v>32.080599999999997</v>
      </c>
      <c r="H53">
        <f t="shared" si="1"/>
        <v>32.080599999999997</v>
      </c>
    </row>
    <row r="54" spans="2:8">
      <c r="B54" t="s">
        <v>174</v>
      </c>
      <c r="C54">
        <v>52</v>
      </c>
      <c r="D54">
        <v>618</v>
      </c>
      <c r="E54">
        <v>2148966</v>
      </c>
      <c r="F54">
        <v>28.757999999999999</v>
      </c>
      <c r="G54">
        <f t="shared" si="0"/>
        <v>28.757999999999999</v>
      </c>
      <c r="H54">
        <f t="shared" si="1"/>
        <v>28.757999999999999</v>
      </c>
    </row>
    <row r="55" spans="2:8">
      <c r="B55" t="s">
        <v>175</v>
      </c>
      <c r="C55">
        <v>53</v>
      </c>
      <c r="D55">
        <v>699</v>
      </c>
      <c r="E55">
        <v>2175762</v>
      </c>
      <c r="F55">
        <v>32.1267</v>
      </c>
      <c r="G55">
        <f t="shared" si="0"/>
        <v>32.1267</v>
      </c>
      <c r="H55">
        <f t="shared" si="1"/>
        <v>32.1267</v>
      </c>
    </row>
    <row r="56" spans="2:8">
      <c r="B56" t="s">
        <v>176</v>
      </c>
      <c r="C56">
        <v>54</v>
      </c>
      <c r="D56">
        <v>664</v>
      </c>
      <c r="E56">
        <v>2165590</v>
      </c>
      <c r="F56">
        <v>30.6614</v>
      </c>
      <c r="G56">
        <f t="shared" si="0"/>
        <v>30.6614</v>
      </c>
      <c r="H56">
        <f t="shared" si="1"/>
        <v>30.6614</v>
      </c>
    </row>
    <row r="57" spans="2:8">
      <c r="B57" t="s">
        <v>177</v>
      </c>
      <c r="C57">
        <v>55</v>
      </c>
      <c r="D57">
        <v>627</v>
      </c>
      <c r="E57">
        <v>2154452</v>
      </c>
      <c r="F57">
        <v>29.102499999999999</v>
      </c>
      <c r="G57">
        <f t="shared" si="0"/>
        <v>29.102499999999999</v>
      </c>
      <c r="H57">
        <f t="shared" si="1"/>
        <v>29.102499999999999</v>
      </c>
    </row>
    <row r="58" spans="2:8">
      <c r="B58" t="s">
        <v>178</v>
      </c>
      <c r="C58">
        <v>56</v>
      </c>
      <c r="D58">
        <v>583</v>
      </c>
      <c r="E58">
        <v>2171286</v>
      </c>
      <c r="F58">
        <v>26.8504</v>
      </c>
      <c r="G58">
        <f t="shared" si="0"/>
        <v>26.8504</v>
      </c>
      <c r="H58">
        <f t="shared" si="1"/>
        <v>26.8504</v>
      </c>
    </row>
    <row r="59" spans="2:8">
      <c r="B59" t="s">
        <v>179</v>
      </c>
      <c r="C59">
        <v>57</v>
      </c>
      <c r="D59">
        <v>602</v>
      </c>
      <c r="E59">
        <v>2190232</v>
      </c>
      <c r="F59">
        <v>27.485700000000001</v>
      </c>
      <c r="G59">
        <f t="shared" si="0"/>
        <v>27.485700000000001</v>
      </c>
      <c r="H59">
        <f t="shared" si="1"/>
        <v>27.485700000000001</v>
      </c>
    </row>
    <row r="60" spans="2:8">
      <c r="B60" t="s">
        <v>180</v>
      </c>
      <c r="C60">
        <v>58</v>
      </c>
      <c r="D60">
        <v>551</v>
      </c>
      <c r="E60">
        <v>2102988</v>
      </c>
      <c r="F60">
        <v>26.200800000000001</v>
      </c>
      <c r="G60">
        <f t="shared" si="0"/>
        <v>26.200800000000001</v>
      </c>
      <c r="H60">
        <f t="shared" si="1"/>
        <v>26.200800000000001</v>
      </c>
    </row>
    <row r="61" spans="2:8">
      <c r="B61" t="s">
        <v>181</v>
      </c>
      <c r="C61">
        <v>59</v>
      </c>
      <c r="D61">
        <v>466</v>
      </c>
      <c r="E61">
        <v>2081562</v>
      </c>
      <c r="F61">
        <v>22.387</v>
      </c>
      <c r="G61">
        <f t="shared" si="0"/>
        <v>22.387</v>
      </c>
      <c r="H61">
        <f t="shared" si="1"/>
        <v>22.387</v>
      </c>
    </row>
    <row r="62" spans="2:8">
      <c r="B62" t="s">
        <v>182</v>
      </c>
      <c r="C62">
        <v>60</v>
      </c>
      <c r="D62">
        <v>431</v>
      </c>
      <c r="E62">
        <v>2047375</v>
      </c>
      <c r="F62">
        <v>21.051300000000001</v>
      </c>
      <c r="G62">
        <f t="shared" si="0"/>
        <v>21.051300000000001</v>
      </c>
      <c r="H62">
        <f t="shared" si="1"/>
        <v>21.051300000000001</v>
      </c>
    </row>
    <row r="63" spans="2:8">
      <c r="B63" t="s">
        <v>183</v>
      </c>
      <c r="C63">
        <v>61</v>
      </c>
      <c r="D63">
        <v>359</v>
      </c>
      <c r="E63">
        <v>1963253</v>
      </c>
      <c r="F63">
        <v>18.286000000000001</v>
      </c>
      <c r="G63">
        <f t="shared" si="0"/>
        <v>18.286000000000001</v>
      </c>
      <c r="H63">
        <f t="shared" si="1"/>
        <v>18.286000000000001</v>
      </c>
    </row>
    <row r="64" spans="2:8">
      <c r="B64" t="s">
        <v>184</v>
      </c>
      <c r="C64">
        <v>62</v>
      </c>
      <c r="D64">
        <v>324</v>
      </c>
      <c r="E64">
        <v>1938979</v>
      </c>
      <c r="F64">
        <v>16.709800000000001</v>
      </c>
      <c r="G64">
        <f t="shared" si="0"/>
        <v>16.709800000000001</v>
      </c>
      <c r="H64">
        <f t="shared" si="1"/>
        <v>16.709800000000001</v>
      </c>
    </row>
    <row r="65" spans="2:8">
      <c r="B65" t="s">
        <v>185</v>
      </c>
      <c r="C65">
        <v>63</v>
      </c>
      <c r="D65">
        <v>280</v>
      </c>
      <c r="E65">
        <v>1843702</v>
      </c>
      <c r="F65">
        <v>15.1868</v>
      </c>
      <c r="G65">
        <f t="shared" si="0"/>
        <v>15.1868</v>
      </c>
      <c r="H65">
        <f t="shared" si="1"/>
        <v>15.1868</v>
      </c>
    </row>
    <row r="66" spans="2:8">
      <c r="B66" t="s">
        <v>186</v>
      </c>
      <c r="C66">
        <v>64</v>
      </c>
      <c r="D66">
        <v>249</v>
      </c>
      <c r="E66">
        <v>1763974</v>
      </c>
      <c r="F66">
        <v>14.1159</v>
      </c>
      <c r="G66">
        <f t="shared" si="0"/>
        <v>14.1159</v>
      </c>
      <c r="H66">
        <f t="shared" si="1"/>
        <v>14.1159</v>
      </c>
    </row>
    <row r="67" spans="2:8">
      <c r="B67" t="s">
        <v>187</v>
      </c>
      <c r="C67">
        <v>65</v>
      </c>
      <c r="D67">
        <v>193</v>
      </c>
      <c r="E67">
        <v>1688983</v>
      </c>
      <c r="F67">
        <v>11.427</v>
      </c>
      <c r="G67">
        <f t="shared" ref="G67:G104" si="2">IF(F67="Unreliable",D67/E67*100000,F67)</f>
        <v>11.427</v>
      </c>
      <c r="H67">
        <f t="shared" ref="H67:H86" si="3">IF(F67="Unreliable",D67/E67*100000,F67)</f>
        <v>11.427</v>
      </c>
    </row>
    <row r="68" spans="2:8">
      <c r="B68" t="s">
        <v>188</v>
      </c>
      <c r="C68">
        <v>66</v>
      </c>
      <c r="D68">
        <v>170</v>
      </c>
      <c r="E68">
        <v>1626011</v>
      </c>
      <c r="F68">
        <v>10.455</v>
      </c>
      <c r="G68">
        <f t="shared" si="2"/>
        <v>10.455</v>
      </c>
      <c r="H68">
        <f t="shared" si="3"/>
        <v>10.455</v>
      </c>
    </row>
    <row r="69" spans="2:8">
      <c r="B69" t="s">
        <v>189</v>
      </c>
      <c r="C69">
        <v>67</v>
      </c>
      <c r="D69">
        <v>130</v>
      </c>
      <c r="E69">
        <v>1583631</v>
      </c>
      <c r="F69">
        <v>8.2089999999999996</v>
      </c>
      <c r="G69">
        <f t="shared" si="2"/>
        <v>8.2089999999999996</v>
      </c>
      <c r="H69">
        <f t="shared" si="3"/>
        <v>8.2089999999999996</v>
      </c>
    </row>
    <row r="70" spans="2:8">
      <c r="B70" t="s">
        <v>190</v>
      </c>
      <c r="C70">
        <v>68</v>
      </c>
      <c r="D70">
        <v>112</v>
      </c>
      <c r="E70">
        <v>1527330</v>
      </c>
      <c r="F70">
        <v>7.3331</v>
      </c>
      <c r="G70">
        <f t="shared" si="2"/>
        <v>7.3331</v>
      </c>
      <c r="H70">
        <f t="shared" si="3"/>
        <v>7.3331</v>
      </c>
    </row>
    <row r="71" spans="2:8">
      <c r="B71" t="s">
        <v>191</v>
      </c>
      <c r="C71">
        <v>69</v>
      </c>
      <c r="D71">
        <v>91</v>
      </c>
      <c r="E71">
        <v>1503913</v>
      </c>
      <c r="F71">
        <v>6.0509000000000004</v>
      </c>
      <c r="G71">
        <f t="shared" si="2"/>
        <v>6.0509000000000004</v>
      </c>
      <c r="H71">
        <f t="shared" si="3"/>
        <v>6.0509000000000004</v>
      </c>
    </row>
    <row r="72" spans="2:8">
      <c r="B72" t="s">
        <v>192</v>
      </c>
      <c r="C72">
        <v>70</v>
      </c>
      <c r="D72">
        <v>56</v>
      </c>
      <c r="E72">
        <v>1558707</v>
      </c>
      <c r="F72">
        <v>3.5926999999999998</v>
      </c>
      <c r="G72">
        <f t="shared" si="2"/>
        <v>3.5926999999999998</v>
      </c>
      <c r="H72">
        <f t="shared" si="3"/>
        <v>3.5926999999999998</v>
      </c>
    </row>
    <row r="73" spans="2:8">
      <c r="B73" t="s">
        <v>193</v>
      </c>
      <c r="C73">
        <v>71</v>
      </c>
      <c r="D73">
        <v>39</v>
      </c>
      <c r="E73">
        <v>1136177</v>
      </c>
      <c r="F73">
        <v>3.4325999999999999</v>
      </c>
      <c r="G73">
        <f t="shared" si="2"/>
        <v>3.4325999999999999</v>
      </c>
      <c r="H73">
        <f t="shared" si="3"/>
        <v>3.4325999999999999</v>
      </c>
    </row>
    <row r="74" spans="2:8">
      <c r="B74" t="s">
        <v>194</v>
      </c>
      <c r="C74">
        <v>72</v>
      </c>
      <c r="D74">
        <v>42</v>
      </c>
      <c r="E74">
        <v>1108765</v>
      </c>
      <c r="F74">
        <v>3.7879999999999998</v>
      </c>
      <c r="G74">
        <f t="shared" si="2"/>
        <v>3.7879999999999998</v>
      </c>
      <c r="H74">
        <f t="shared" si="3"/>
        <v>3.7879999999999998</v>
      </c>
    </row>
    <row r="75" spans="2:8">
      <c r="B75" t="s">
        <v>195</v>
      </c>
      <c r="C75">
        <v>73</v>
      </c>
      <c r="D75">
        <v>25</v>
      </c>
      <c r="E75">
        <v>1066091</v>
      </c>
      <c r="F75">
        <v>2.3450000000000002</v>
      </c>
      <c r="G75">
        <f t="shared" si="2"/>
        <v>2.3450000000000002</v>
      </c>
      <c r="H75">
        <f t="shared" si="3"/>
        <v>2.3450000000000002</v>
      </c>
    </row>
    <row r="76" spans="2:8">
      <c r="B76" t="s">
        <v>196</v>
      </c>
      <c r="C76">
        <v>74</v>
      </c>
      <c r="D76">
        <v>13</v>
      </c>
      <c r="E76">
        <v>1077532</v>
      </c>
      <c r="F76" t="s">
        <v>122</v>
      </c>
      <c r="G76">
        <f t="shared" si="2"/>
        <v>1.2064606897985397</v>
      </c>
      <c r="H76" s="23">
        <f t="shared" si="3"/>
        <v>1.2064606897985397</v>
      </c>
    </row>
    <row r="77" spans="2:8">
      <c r="B77" t="s">
        <v>197</v>
      </c>
      <c r="C77">
        <v>75</v>
      </c>
      <c r="D77">
        <v>18</v>
      </c>
      <c r="E77">
        <v>923942</v>
      </c>
      <c r="F77" t="s">
        <v>122</v>
      </c>
      <c r="G77">
        <f t="shared" si="2"/>
        <v>1.9481742360451197</v>
      </c>
      <c r="H77" s="23">
        <f t="shared" si="3"/>
        <v>1.9481742360451197</v>
      </c>
    </row>
    <row r="78" spans="2:8">
      <c r="B78" t="s">
        <v>198</v>
      </c>
      <c r="C78">
        <v>76</v>
      </c>
      <c r="D78">
        <v>14</v>
      </c>
      <c r="E78">
        <v>827432</v>
      </c>
      <c r="F78" t="s">
        <v>122</v>
      </c>
      <c r="G78">
        <f t="shared" si="2"/>
        <v>1.6919819393013567</v>
      </c>
      <c r="H78" s="23">
        <f t="shared" si="3"/>
        <v>1.6919819393013567</v>
      </c>
    </row>
    <row r="79" spans="2:8">
      <c r="B79" t="s">
        <v>199</v>
      </c>
      <c r="C79">
        <v>77</v>
      </c>
      <c r="D79">
        <v>12</v>
      </c>
      <c r="E79">
        <v>769612</v>
      </c>
      <c r="F79" t="s">
        <v>122</v>
      </c>
      <c r="G79">
        <f t="shared" si="2"/>
        <v>1.5592272469763984</v>
      </c>
      <c r="H79" s="23">
        <f t="shared" si="3"/>
        <v>1.5592272469763984</v>
      </c>
    </row>
    <row r="80" spans="2:8">
      <c r="B80" t="s">
        <v>200</v>
      </c>
      <c r="C80">
        <v>78</v>
      </c>
      <c r="D80">
        <v>11</v>
      </c>
      <c r="E80">
        <v>713055</v>
      </c>
      <c r="F80" t="s">
        <v>122</v>
      </c>
      <c r="G80">
        <f t="shared" si="2"/>
        <v>1.5426579997335408</v>
      </c>
      <c r="H80" s="23">
        <f t="shared" si="3"/>
        <v>1.5426579997335408</v>
      </c>
    </row>
    <row r="81" spans="2:8">
      <c r="B81" t="s">
        <v>201</v>
      </c>
      <c r="C81">
        <v>79</v>
      </c>
      <c r="D81">
        <v>9</v>
      </c>
      <c r="E81">
        <v>664775</v>
      </c>
      <c r="F81" t="s">
        <v>122</v>
      </c>
      <c r="G81">
        <f t="shared" si="2"/>
        <v>1.3538415253281186</v>
      </c>
      <c r="H81" s="23">
        <f t="shared" si="3"/>
        <v>1.3538415253281186</v>
      </c>
    </row>
    <row r="82" spans="2:8">
      <c r="B82" t="s">
        <v>202</v>
      </c>
      <c r="C82">
        <v>80</v>
      </c>
      <c r="D82">
        <v>2</v>
      </c>
      <c r="E82">
        <v>596081</v>
      </c>
      <c r="F82" t="s">
        <v>122</v>
      </c>
      <c r="G82">
        <f t="shared" si="2"/>
        <v>0.33552486994217229</v>
      </c>
      <c r="H82" s="23">
        <f t="shared" si="3"/>
        <v>0.33552486994217229</v>
      </c>
    </row>
    <row r="83" spans="2:8">
      <c r="B83" t="s">
        <v>203</v>
      </c>
      <c r="C83">
        <v>81</v>
      </c>
      <c r="D83">
        <v>11</v>
      </c>
      <c r="E83">
        <v>552132</v>
      </c>
      <c r="F83" t="s">
        <v>122</v>
      </c>
      <c r="G83">
        <f t="shared" si="2"/>
        <v>1.9922772090731924</v>
      </c>
      <c r="H83" s="23">
        <f t="shared" si="3"/>
        <v>1.9922772090731924</v>
      </c>
    </row>
    <row r="84" spans="2:8">
      <c r="B84" t="s">
        <v>204</v>
      </c>
      <c r="C84">
        <v>82</v>
      </c>
      <c r="D84">
        <v>6</v>
      </c>
      <c r="E84">
        <v>510165</v>
      </c>
      <c r="F84" t="s">
        <v>122</v>
      </c>
      <c r="G84">
        <f t="shared" si="2"/>
        <v>1.1760900885007792</v>
      </c>
      <c r="H84" s="23">
        <f t="shared" si="3"/>
        <v>1.1760900885007792</v>
      </c>
    </row>
    <row r="85" spans="2:8">
      <c r="B85" t="s">
        <v>205</v>
      </c>
      <c r="C85">
        <v>83</v>
      </c>
      <c r="D85">
        <v>2</v>
      </c>
      <c r="E85">
        <v>441701</v>
      </c>
      <c r="F85" t="s">
        <v>122</v>
      </c>
      <c r="G85">
        <f t="shared" si="2"/>
        <v>0.45279499027622755</v>
      </c>
      <c r="H85" s="23">
        <f t="shared" si="3"/>
        <v>0.45279499027622755</v>
      </c>
    </row>
    <row r="86" spans="2:8">
      <c r="B86" t="s">
        <v>206</v>
      </c>
      <c r="C86">
        <v>84</v>
      </c>
      <c r="D86">
        <v>4</v>
      </c>
      <c r="E86">
        <v>408980</v>
      </c>
      <c r="F86" t="s">
        <v>122</v>
      </c>
      <c r="G86">
        <f t="shared" si="2"/>
        <v>0.97804293608489401</v>
      </c>
      <c r="H86" s="23">
        <f t="shared" si="3"/>
        <v>0.97804293608489401</v>
      </c>
    </row>
    <row r="87" spans="2:8">
      <c r="B87" t="s">
        <v>207</v>
      </c>
      <c r="C87">
        <v>85</v>
      </c>
      <c r="D87">
        <v>7</v>
      </c>
      <c r="E87" t="s">
        <v>208</v>
      </c>
      <c r="F87" t="s">
        <v>208</v>
      </c>
      <c r="G87" t="str">
        <f t="shared" si="2"/>
        <v>Not Applicable</v>
      </c>
      <c r="H87" s="68">
        <f>M104*100000</f>
        <v>1.1843824695602738</v>
      </c>
    </row>
    <row r="88" spans="2:8">
      <c r="B88" t="s">
        <v>209</v>
      </c>
      <c r="C88">
        <v>86</v>
      </c>
      <c r="D88">
        <v>5</v>
      </c>
      <c r="E88" t="s">
        <v>208</v>
      </c>
      <c r="F88" t="s">
        <v>208</v>
      </c>
      <c r="G88" t="str">
        <f t="shared" si="2"/>
        <v>Not Applicable</v>
      </c>
    </row>
    <row r="89" spans="2:8">
      <c r="B89" t="s">
        <v>210</v>
      </c>
      <c r="C89">
        <v>87</v>
      </c>
      <c r="D89">
        <v>0</v>
      </c>
      <c r="E89" t="s">
        <v>208</v>
      </c>
      <c r="F89" t="s">
        <v>208</v>
      </c>
      <c r="G89" t="str">
        <f t="shared" si="2"/>
        <v>Not Applicable</v>
      </c>
    </row>
    <row r="90" spans="2:8">
      <c r="B90" t="s">
        <v>211</v>
      </c>
      <c r="C90">
        <v>88</v>
      </c>
      <c r="D90">
        <v>3</v>
      </c>
      <c r="E90" t="s">
        <v>208</v>
      </c>
      <c r="F90" t="s">
        <v>208</v>
      </c>
      <c r="G90" t="str">
        <f t="shared" si="2"/>
        <v>Not Applicable</v>
      </c>
    </row>
    <row r="91" spans="2:8">
      <c r="B91" t="s">
        <v>212</v>
      </c>
      <c r="C91">
        <v>89</v>
      </c>
      <c r="D91">
        <v>2</v>
      </c>
      <c r="E91" t="s">
        <v>208</v>
      </c>
      <c r="F91" t="s">
        <v>208</v>
      </c>
      <c r="G91" t="str">
        <f t="shared" si="2"/>
        <v>Not Applicable</v>
      </c>
    </row>
    <row r="92" spans="2:8">
      <c r="B92" t="s">
        <v>213</v>
      </c>
      <c r="C92">
        <v>90</v>
      </c>
      <c r="D92">
        <v>1</v>
      </c>
      <c r="E92" t="s">
        <v>208</v>
      </c>
      <c r="F92" t="s">
        <v>208</v>
      </c>
      <c r="G92" t="str">
        <f t="shared" si="2"/>
        <v>Not Applicable</v>
      </c>
    </row>
    <row r="93" spans="2:8">
      <c r="B93" t="s">
        <v>214</v>
      </c>
      <c r="C93">
        <v>91</v>
      </c>
      <c r="D93">
        <v>4</v>
      </c>
      <c r="E93" t="s">
        <v>208</v>
      </c>
      <c r="F93" t="s">
        <v>208</v>
      </c>
      <c r="G93" t="str">
        <f t="shared" si="2"/>
        <v>Not Applicable</v>
      </c>
    </row>
    <row r="94" spans="2:8">
      <c r="B94" t="s">
        <v>215</v>
      </c>
      <c r="C94">
        <v>92</v>
      </c>
      <c r="D94">
        <v>0</v>
      </c>
      <c r="E94" t="s">
        <v>208</v>
      </c>
      <c r="F94" t="s">
        <v>208</v>
      </c>
      <c r="G94" t="str">
        <f t="shared" si="2"/>
        <v>Not Applicable</v>
      </c>
    </row>
    <row r="95" spans="2:8">
      <c r="B95" t="s">
        <v>216</v>
      </c>
      <c r="C95">
        <v>93</v>
      </c>
      <c r="D95">
        <v>4</v>
      </c>
      <c r="E95" t="s">
        <v>208</v>
      </c>
      <c r="F95" t="s">
        <v>208</v>
      </c>
      <c r="G95" t="str">
        <f t="shared" si="2"/>
        <v>Not Applicable</v>
      </c>
    </row>
    <row r="96" spans="2:8">
      <c r="B96" t="s">
        <v>217</v>
      </c>
      <c r="C96">
        <v>94</v>
      </c>
      <c r="D96">
        <v>0</v>
      </c>
      <c r="E96" t="s">
        <v>208</v>
      </c>
      <c r="F96" t="s">
        <v>208</v>
      </c>
      <c r="G96" t="str">
        <f t="shared" si="2"/>
        <v>Not Applicable</v>
      </c>
    </row>
    <row r="97" spans="1:13">
      <c r="B97" t="s">
        <v>218</v>
      </c>
      <c r="C97">
        <v>95</v>
      </c>
      <c r="D97">
        <v>0</v>
      </c>
      <c r="E97" t="s">
        <v>208</v>
      </c>
      <c r="F97" t="s">
        <v>208</v>
      </c>
      <c r="G97" t="str">
        <f t="shared" si="2"/>
        <v>Not Applicable</v>
      </c>
    </row>
    <row r="98" spans="1:13">
      <c r="B98" t="s">
        <v>219</v>
      </c>
      <c r="C98">
        <v>96</v>
      </c>
      <c r="D98">
        <v>1</v>
      </c>
      <c r="E98" t="s">
        <v>208</v>
      </c>
      <c r="F98" t="s">
        <v>208</v>
      </c>
      <c r="G98" t="str">
        <f t="shared" si="2"/>
        <v>Not Applicable</v>
      </c>
    </row>
    <row r="99" spans="1:13">
      <c r="B99" t="s">
        <v>220</v>
      </c>
      <c r="C99">
        <v>97</v>
      </c>
      <c r="D99">
        <v>0</v>
      </c>
      <c r="E99" t="s">
        <v>208</v>
      </c>
      <c r="F99" t="s">
        <v>208</v>
      </c>
      <c r="G99" t="str">
        <f t="shared" si="2"/>
        <v>Not Applicable</v>
      </c>
    </row>
    <row r="100" spans="1:13">
      <c r="B100" t="s">
        <v>221</v>
      </c>
      <c r="C100">
        <v>98</v>
      </c>
      <c r="D100">
        <v>0</v>
      </c>
      <c r="E100" t="s">
        <v>208</v>
      </c>
      <c r="F100" t="s">
        <v>208</v>
      </c>
      <c r="G100" t="str">
        <f t="shared" si="2"/>
        <v>Not Applicable</v>
      </c>
    </row>
    <row r="101" spans="1:13">
      <c r="B101" t="s">
        <v>222</v>
      </c>
      <c r="C101">
        <v>99</v>
      </c>
      <c r="D101">
        <v>0</v>
      </c>
      <c r="E101" t="s">
        <v>208</v>
      </c>
      <c r="F101" t="s">
        <v>208</v>
      </c>
      <c r="G101" t="str">
        <f t="shared" si="2"/>
        <v>Not Applicable</v>
      </c>
    </row>
    <row r="102" spans="1:13">
      <c r="B102" t="s">
        <v>223</v>
      </c>
      <c r="C102">
        <v>100</v>
      </c>
      <c r="D102">
        <v>0</v>
      </c>
      <c r="E102" t="s">
        <v>208</v>
      </c>
      <c r="F102" t="s">
        <v>208</v>
      </c>
      <c r="G102" t="str">
        <f t="shared" si="2"/>
        <v>Not Applicable</v>
      </c>
    </row>
    <row r="103" spans="1:13">
      <c r="B103" t="s">
        <v>224</v>
      </c>
      <c r="C103" t="s">
        <v>225</v>
      </c>
      <c r="D103">
        <v>11</v>
      </c>
      <c r="E103" t="s">
        <v>208</v>
      </c>
      <c r="F103" t="s">
        <v>208</v>
      </c>
      <c r="G103" t="str">
        <f t="shared" si="2"/>
        <v>Not Applicable</v>
      </c>
      <c r="K103" t="s">
        <v>280</v>
      </c>
      <c r="L103" t="s">
        <v>281</v>
      </c>
      <c r="M103" t="s">
        <v>282</v>
      </c>
    </row>
    <row r="104" spans="1:13">
      <c r="A104" t="s">
        <v>227</v>
      </c>
      <c r="D104">
        <v>32337</v>
      </c>
      <c r="E104">
        <v>160408119</v>
      </c>
      <c r="F104">
        <v>20.159199999999998</v>
      </c>
      <c r="G104">
        <f t="shared" si="2"/>
        <v>20.159199999999998</v>
      </c>
      <c r="H104">
        <f>IF(F104="Unreliable",D104/E104*100000,F104)</f>
        <v>20.159199999999998</v>
      </c>
      <c r="K104">
        <f>E104-SUM(E2:E86)</f>
        <v>2279669</v>
      </c>
      <c r="L104">
        <f>SUM(D87:D102)</f>
        <v>27</v>
      </c>
      <c r="M104">
        <f>L104/K104</f>
        <v>1.1843824695602739E-5</v>
      </c>
    </row>
    <row r="105" spans="1:13">
      <c r="A105" t="s">
        <v>228</v>
      </c>
    </row>
    <row r="106" spans="1:13">
      <c r="A106" t="s">
        <v>229</v>
      </c>
    </row>
    <row r="107" spans="1:13">
      <c r="A107" t="s">
        <v>230</v>
      </c>
    </row>
    <row r="108" spans="1:13">
      <c r="A108" t="s">
        <v>231</v>
      </c>
    </row>
    <row r="109" spans="1:13">
      <c r="A109" t="s">
        <v>232</v>
      </c>
    </row>
    <row r="110" spans="1:13">
      <c r="A110" t="s">
        <v>233</v>
      </c>
    </row>
    <row r="111" spans="1:13">
      <c r="A111" t="s">
        <v>234</v>
      </c>
    </row>
    <row r="112" spans="1:13">
      <c r="A112" t="s">
        <v>235</v>
      </c>
    </row>
    <row r="113" spans="1:1">
      <c r="A113" t="s">
        <v>236</v>
      </c>
    </row>
    <row r="114" spans="1:1">
      <c r="A114" t="s">
        <v>237</v>
      </c>
    </row>
    <row r="115" spans="1:1">
      <c r="A115" t="s">
        <v>238</v>
      </c>
    </row>
    <row r="116" spans="1:1">
      <c r="A116" t="s">
        <v>239</v>
      </c>
    </row>
    <row r="117" spans="1:1">
      <c r="A117" t="s">
        <v>240</v>
      </c>
    </row>
    <row r="118" spans="1:1">
      <c r="A118" t="s">
        <v>241</v>
      </c>
    </row>
    <row r="119" spans="1:1">
      <c r="A119" t="s">
        <v>242</v>
      </c>
    </row>
    <row r="120" spans="1:1">
      <c r="A120" t="s">
        <v>228</v>
      </c>
    </row>
    <row r="121" spans="1:1">
      <c r="A121" t="s">
        <v>243</v>
      </c>
    </row>
    <row r="122" spans="1:1">
      <c r="A122" t="s">
        <v>228</v>
      </c>
    </row>
    <row r="123" spans="1:1">
      <c r="A123" t="s">
        <v>244</v>
      </c>
    </row>
    <row r="124" spans="1:1">
      <c r="A124" t="s">
        <v>228</v>
      </c>
    </row>
    <row r="125" spans="1:1">
      <c r="A125" t="s">
        <v>245</v>
      </c>
    </row>
    <row r="126" spans="1:1">
      <c r="A126" t="s">
        <v>246</v>
      </c>
    </row>
    <row r="127" spans="1:1">
      <c r="A127" t="s">
        <v>247</v>
      </c>
    </row>
    <row r="128" spans="1:1">
      <c r="A128" t="s">
        <v>248</v>
      </c>
    </row>
    <row r="129" spans="1:1">
      <c r="A129" t="s">
        <v>228</v>
      </c>
    </row>
    <row r="130" spans="1:1">
      <c r="A130" t="s">
        <v>249</v>
      </c>
    </row>
    <row r="131" spans="1:1">
      <c r="A131" t="s">
        <v>250</v>
      </c>
    </row>
    <row r="132" spans="1:1">
      <c r="A132" t="s">
        <v>251</v>
      </c>
    </row>
    <row r="133" spans="1:1">
      <c r="A133" t="s">
        <v>252</v>
      </c>
    </row>
    <row r="134" spans="1:1">
      <c r="A134" t="s">
        <v>253</v>
      </c>
    </row>
    <row r="135" spans="1:1">
      <c r="A135" t="s">
        <v>254</v>
      </c>
    </row>
    <row r="136" spans="1:1">
      <c r="A136" t="s">
        <v>255</v>
      </c>
    </row>
    <row r="137" spans="1:1">
      <c r="A137" t="s">
        <v>256</v>
      </c>
    </row>
    <row r="138" spans="1:1">
      <c r="A138" t="s">
        <v>257</v>
      </c>
    </row>
    <row r="139" spans="1:1">
      <c r="A139" t="s">
        <v>258</v>
      </c>
    </row>
    <row r="140" spans="1:1">
      <c r="A140" t="s">
        <v>259</v>
      </c>
    </row>
    <row r="141" spans="1:1">
      <c r="A141" t="s">
        <v>260</v>
      </c>
    </row>
    <row r="142" spans="1:1">
      <c r="A142" t="s">
        <v>261</v>
      </c>
    </row>
    <row r="143" spans="1:1">
      <c r="A143" t="s">
        <v>262</v>
      </c>
    </row>
    <row r="144" spans="1:1">
      <c r="A144" t="s">
        <v>263</v>
      </c>
    </row>
    <row r="145" spans="1:1">
      <c r="A145" t="s">
        <v>264</v>
      </c>
    </row>
    <row r="146" spans="1:1">
      <c r="A146" t="s">
        <v>265</v>
      </c>
    </row>
    <row r="147" spans="1:1">
      <c r="A147" t="s">
        <v>266</v>
      </c>
    </row>
    <row r="148" spans="1:1">
      <c r="A148" t="s">
        <v>267</v>
      </c>
    </row>
    <row r="149" spans="1:1">
      <c r="A149" t="s">
        <v>268</v>
      </c>
    </row>
    <row r="150" spans="1:1">
      <c r="A150" t="s">
        <v>269</v>
      </c>
    </row>
    <row r="151" spans="1:1">
      <c r="A151" t="s">
        <v>270</v>
      </c>
    </row>
    <row r="152" spans="1:1">
      <c r="A152" t="s">
        <v>271</v>
      </c>
    </row>
    <row r="153" spans="1:1">
      <c r="A153" t="s">
        <v>272</v>
      </c>
    </row>
    <row r="154" spans="1:1">
      <c r="A154" t="s">
        <v>273</v>
      </c>
    </row>
    <row r="155" spans="1:1">
      <c r="A155" t="s">
        <v>274</v>
      </c>
    </row>
    <row r="156" spans="1:1">
      <c r="A156" t="s">
        <v>275</v>
      </c>
    </row>
    <row r="157" spans="1:1">
      <c r="A157" t="s">
        <v>276</v>
      </c>
    </row>
    <row r="158" spans="1:1">
      <c r="A158" t="s">
        <v>277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06"/>
  <sheetViews>
    <sheetView tabSelected="1" zoomScale="110" zoomScaleNormal="11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R4" sqref="R4"/>
    </sheetView>
  </sheetViews>
  <sheetFormatPr baseColWidth="10" defaultColWidth="8.83203125" defaultRowHeight="15"/>
  <cols>
    <col min="1" max="1" width="14.83203125" bestFit="1" customWidth="1"/>
    <col min="2" max="2" width="13.6640625" customWidth="1"/>
    <col min="3" max="3" width="11.5" customWidth="1"/>
    <col min="4" max="4" width="12.83203125" customWidth="1"/>
    <col min="5" max="5" width="12.5" customWidth="1"/>
    <col min="6" max="7" width="11.83203125" customWidth="1"/>
    <col min="8" max="8" width="12.5" customWidth="1"/>
    <col min="9" max="9" width="15.6640625" hidden="1" customWidth="1"/>
    <col min="10" max="10" width="11.83203125" customWidth="1"/>
    <col min="11" max="11" width="10.33203125" customWidth="1"/>
    <col min="12" max="12" width="11.5" customWidth="1"/>
    <col min="13" max="13" width="14.1640625" customWidth="1"/>
    <col min="14" max="14" width="14" customWidth="1"/>
    <col min="15" max="15" width="11" customWidth="1"/>
    <col min="16" max="16" width="12.1640625" customWidth="1"/>
    <col min="17" max="17" width="14.5" customWidth="1"/>
  </cols>
  <sheetData>
    <row r="1" spans="1:18">
      <c r="A1" s="19" t="s">
        <v>15</v>
      </c>
      <c r="B1" s="20"/>
      <c r="C1" s="20"/>
      <c r="D1" s="20"/>
      <c r="E1" s="20"/>
      <c r="F1" s="22"/>
      <c r="G1" s="22"/>
      <c r="H1" s="20"/>
      <c r="I1" s="20"/>
      <c r="J1" s="20"/>
      <c r="K1" s="22"/>
      <c r="L1" s="22"/>
      <c r="M1" s="20"/>
      <c r="N1" s="22"/>
      <c r="O1" s="20"/>
    </row>
    <row r="2" spans="1:18" ht="90">
      <c r="A2" s="69" t="s">
        <v>1</v>
      </c>
      <c r="B2" s="5" t="s">
        <v>2</v>
      </c>
      <c r="C2" s="24" t="s">
        <v>284</v>
      </c>
      <c r="D2" s="24" t="s">
        <v>286</v>
      </c>
      <c r="E2" s="24" t="s">
        <v>289</v>
      </c>
      <c r="F2" s="32" t="s">
        <v>291</v>
      </c>
      <c r="G2" s="32" t="s">
        <v>294</v>
      </c>
      <c r="H2" s="6" t="s">
        <v>3</v>
      </c>
      <c r="I2" s="6" t="s">
        <v>4</v>
      </c>
      <c r="J2" s="6" t="s">
        <v>5</v>
      </c>
      <c r="K2" s="32" t="s">
        <v>295</v>
      </c>
      <c r="L2" s="32" t="s">
        <v>297</v>
      </c>
      <c r="M2" s="6" t="s">
        <v>6</v>
      </c>
      <c r="N2" s="32" t="s">
        <v>299</v>
      </c>
      <c r="O2" s="39" t="s">
        <v>7</v>
      </c>
      <c r="P2" s="40" t="s">
        <v>301</v>
      </c>
      <c r="Q2" s="41" t="s">
        <v>303</v>
      </c>
      <c r="R2" s="48" t="s">
        <v>308</v>
      </c>
    </row>
    <row r="3" spans="1:18" ht="17">
      <c r="A3" s="67"/>
      <c r="B3" s="8" t="s">
        <v>283</v>
      </c>
      <c r="C3" s="25" t="s">
        <v>285</v>
      </c>
      <c r="D3" s="25" t="s">
        <v>287</v>
      </c>
      <c r="E3" s="25" t="s">
        <v>290</v>
      </c>
      <c r="F3" s="33" t="s">
        <v>292</v>
      </c>
      <c r="G3" s="33" t="s">
        <v>293</v>
      </c>
      <c r="H3" s="9" t="s">
        <v>10</v>
      </c>
      <c r="I3" s="9" t="s">
        <v>11</v>
      </c>
      <c r="J3" s="9" t="s">
        <v>12</v>
      </c>
      <c r="K3" s="33" t="s">
        <v>296</v>
      </c>
      <c r="L3" s="33" t="s">
        <v>298</v>
      </c>
      <c r="M3" s="9" t="s">
        <v>13</v>
      </c>
      <c r="N3" s="33" t="s">
        <v>300</v>
      </c>
      <c r="O3" s="9" t="s">
        <v>14</v>
      </c>
      <c r="P3" s="33" t="s">
        <v>302</v>
      </c>
      <c r="Q3" s="42" t="s">
        <v>336</v>
      </c>
    </row>
    <row r="4" spans="1:18">
      <c r="A4" s="2" t="s">
        <v>16</v>
      </c>
      <c r="B4" s="11">
        <v>6.3023469410836697E-3</v>
      </c>
      <c r="C4" s="11">
        <f>'Opioid Mortality - WONDER'!H2/100000</f>
        <v>4.4661687715554673E-6</v>
      </c>
      <c r="D4" s="11">
        <f>B4-C4</f>
        <v>6.2978807723121141E-3</v>
      </c>
      <c r="E4" s="11">
        <f>1-(1-B4)^(D4/B4)</f>
        <v>6.2978948656705613E-3</v>
      </c>
      <c r="F4" s="34">
        <v>100000</v>
      </c>
      <c r="G4" s="34">
        <f>F4*E4</f>
        <v>629.78948656705609</v>
      </c>
      <c r="H4" s="13">
        <v>100000</v>
      </c>
      <c r="I4" s="13">
        <v>630.23468017578125</v>
      </c>
      <c r="J4" s="13">
        <v>99448.546875</v>
      </c>
      <c r="K4" s="35">
        <v>0.125</v>
      </c>
      <c r="L4" s="13">
        <f>K4*F4+(1-K4)*F5</f>
        <v>99448.934199253825</v>
      </c>
      <c r="M4" s="13">
        <v>7610075</v>
      </c>
      <c r="N4" s="13">
        <f>SUM(L4:L$89)</f>
        <v>7664507.0349545479</v>
      </c>
      <c r="O4" s="37">
        <v>76.100753784179688</v>
      </c>
      <c r="P4" s="36">
        <f>N4/F4</f>
        <v>76.645070349545477</v>
      </c>
      <c r="Q4" s="43">
        <f>(P4-O4)*365.25</f>
        <v>198.81162549985478</v>
      </c>
      <c r="R4" s="23">
        <f>Q4-'Cohort Method'!P4</f>
        <v>9.5171668192506331E-5</v>
      </c>
    </row>
    <row r="5" spans="1:18">
      <c r="A5" s="3" t="s">
        <v>17</v>
      </c>
      <c r="B5" s="11">
        <v>4.2268639663234353E-4</v>
      </c>
      <c r="C5" s="11">
        <f>'Opioid Mortality - WONDER'!H3/100000</f>
        <v>4.4297486166879461E-6</v>
      </c>
      <c r="D5" s="11">
        <f t="shared" ref="D5:D68" si="0">B5-C5</f>
        <v>4.1825664801565561E-4</v>
      </c>
      <c r="E5" s="11">
        <f t="shared" ref="E5:E68" si="1">1-(1-B5)^(D5/B5)</f>
        <v>4.1825757453350931E-4</v>
      </c>
      <c r="F5" s="34">
        <f>F4*(1-E4)</f>
        <v>99370.210513432947</v>
      </c>
      <c r="G5" s="34">
        <f>F5*E5</f>
        <v>41.562343230232692</v>
      </c>
      <c r="H5" s="13">
        <v>99369.765625</v>
      </c>
      <c r="I5" s="13">
        <v>42.002246856689453</v>
      </c>
      <c r="J5" s="13">
        <v>99348.765625</v>
      </c>
      <c r="K5" s="13"/>
      <c r="L5" s="13">
        <f>1*(F5-G5)+0.5*1*G5</f>
        <v>99349.429341817828</v>
      </c>
      <c r="M5" s="13">
        <v>7510626.5</v>
      </c>
      <c r="N5" s="13">
        <f>SUM(L5:L$89)</f>
        <v>7565058.1007552948</v>
      </c>
      <c r="O5" s="30">
        <v>75.582611083984375</v>
      </c>
      <c r="P5" s="36">
        <f t="shared" ref="P5:P68" si="2">N5/F5</f>
        <v>76.130039995564303</v>
      </c>
      <c r="Q5" s="43">
        <f t="shared" ref="Q5:Q68" si="3">(P5-O5)*365.25</f>
        <v>199.94840995456872</v>
      </c>
      <c r="R5" s="23">
        <f>Q5-'Cohort Method'!P5</f>
        <v>1.029487928292383E-4</v>
      </c>
    </row>
    <row r="6" spans="1:18">
      <c r="A6" s="3" t="s">
        <v>18</v>
      </c>
      <c r="B6" s="11">
        <v>2.8743533766828477E-4</v>
      </c>
      <c r="C6" s="11">
        <f>'Opioid Mortality - WONDER'!H4/100000</f>
        <v>1.4587005409347838E-6</v>
      </c>
      <c r="D6" s="11">
        <f t="shared" si="0"/>
        <v>2.8597663712734997E-4</v>
      </c>
      <c r="E6" s="11">
        <f t="shared" si="1"/>
        <v>2.8597684572462256E-4</v>
      </c>
      <c r="F6" s="34">
        <f t="shared" ref="F6:F69" si="4">F5*(1-E5)</f>
        <v>99328.648170202709</v>
      </c>
      <c r="G6" s="34">
        <f>F6*E6</f>
        <v>28.405693493805373</v>
      </c>
      <c r="H6" s="13">
        <v>99327.765625</v>
      </c>
      <c r="I6" s="13">
        <v>28.550310134887695</v>
      </c>
      <c r="J6" s="13">
        <v>99313.4921875</v>
      </c>
      <c r="K6" s="13"/>
      <c r="L6" s="13">
        <f t="shared" ref="L6:L69" si="5">1*(F6-G6)+0.5*1*G6</f>
        <v>99314.445323455802</v>
      </c>
      <c r="M6" s="13">
        <v>7411277.5</v>
      </c>
      <c r="N6" s="13">
        <f>SUM(L6:L$89)</f>
        <v>7465708.6714134756</v>
      </c>
      <c r="O6" s="30">
        <v>74.614356994628906</v>
      </c>
      <c r="P6" s="36">
        <f t="shared" si="2"/>
        <v>75.161686068864569</v>
      </c>
      <c r="Q6" s="43">
        <f t="shared" si="3"/>
        <v>199.9119443645757</v>
      </c>
      <c r="R6" s="23">
        <f>Q6-'Cohort Method'!P6</f>
        <v>1.0299185851181392E-4</v>
      </c>
    </row>
    <row r="7" spans="1:18">
      <c r="A7" s="3" t="s">
        <v>19</v>
      </c>
      <c r="B7" s="11">
        <v>2.2494496079161763E-4</v>
      </c>
      <c r="C7" s="11">
        <f>'Opioid Mortality - WONDER'!H5/100000</f>
        <v>1.4630763423481597E-6</v>
      </c>
      <c r="D7" s="11">
        <f t="shared" si="0"/>
        <v>2.2348188444926948E-4</v>
      </c>
      <c r="E7" s="11">
        <f t="shared" si="1"/>
        <v>2.2348204794708781E-4</v>
      </c>
      <c r="F7" s="34">
        <f t="shared" si="4"/>
        <v>99300.242476708896</v>
      </c>
      <c r="G7" s="34">
        <f t="shared" ref="G7:G68" si="6">F7*E7</f>
        <v>22.191821550337302</v>
      </c>
      <c r="H7" s="13">
        <v>99299.21875</v>
      </c>
      <c r="I7" s="13">
        <v>22.336858749389648</v>
      </c>
      <c r="J7" s="13">
        <v>99288.046875</v>
      </c>
      <c r="K7" s="13"/>
      <c r="L7" s="13">
        <f t="shared" si="5"/>
        <v>99289.146565933726</v>
      </c>
      <c r="M7" s="13">
        <v>7311964</v>
      </c>
      <c r="N7" s="13">
        <f>SUM(L7:L$89)</f>
        <v>7366394.2260900196</v>
      </c>
      <c r="O7" s="30">
        <v>73.635665893554688</v>
      </c>
      <c r="P7" s="36">
        <f t="shared" si="2"/>
        <v>74.183043690128201</v>
      </c>
      <c r="Q7" s="43">
        <f t="shared" si="3"/>
        <v>199.92974019847591</v>
      </c>
      <c r="R7" s="23">
        <f>Q7-'Cohort Method'!P7</f>
        <v>1.030213250601264E-4</v>
      </c>
    </row>
    <row r="8" spans="1:18">
      <c r="A8" s="3" t="s">
        <v>20</v>
      </c>
      <c r="B8" s="11">
        <v>1.5816476661711931E-4</v>
      </c>
      <c r="C8" s="11">
        <f>'Opioid Mortality - WONDER'!H6/100000</f>
        <v>9.7943144983768376E-7</v>
      </c>
      <c r="D8" s="11">
        <f t="shared" si="0"/>
        <v>1.5718533516728163E-4</v>
      </c>
      <c r="E8" s="11">
        <f t="shared" si="1"/>
        <v>1.5718541214748694E-4</v>
      </c>
      <c r="F8" s="34">
        <f t="shared" si="4"/>
        <v>99278.050655158557</v>
      </c>
      <c r="G8" s="34">
        <f t="shared" si="6"/>
        <v>15.605061309430184</v>
      </c>
      <c r="H8" s="13">
        <v>99276.8828125</v>
      </c>
      <c r="I8" s="13">
        <v>15.702104568481445</v>
      </c>
      <c r="J8" s="13">
        <v>99269.03125</v>
      </c>
      <c r="K8" s="13"/>
      <c r="L8" s="13">
        <f t="shared" si="5"/>
        <v>99270.248124503851</v>
      </c>
      <c r="M8" s="13">
        <v>7212676</v>
      </c>
      <c r="N8" s="13">
        <f>SUM(L8:L$89)</f>
        <v>7267105.0795240868</v>
      </c>
      <c r="O8" s="30">
        <v>72.652122497558594</v>
      </c>
      <c r="P8" s="36">
        <f t="shared" si="2"/>
        <v>73.199514208496225</v>
      </c>
      <c r="Q8" s="43">
        <f t="shared" si="3"/>
        <v>199.93482241996995</v>
      </c>
      <c r="R8" s="23">
        <f>Q8-'Cohort Method'!P8</f>
        <v>8.8765752963126943E-5</v>
      </c>
    </row>
    <row r="9" spans="1:18">
      <c r="A9" s="3" t="s">
        <v>21</v>
      </c>
      <c r="B9" s="11">
        <v>1.5554059064015746E-4</v>
      </c>
      <c r="C9" s="11">
        <f>'Opioid Mortality - WONDER'!H7/100000</f>
        <v>0</v>
      </c>
      <c r="D9" s="11">
        <f t="shared" si="0"/>
        <v>1.5554059064015746E-4</v>
      </c>
      <c r="E9" s="11">
        <f t="shared" si="1"/>
        <v>1.5554059064015746E-4</v>
      </c>
      <c r="F9" s="34">
        <f t="shared" si="4"/>
        <v>99262.44559384913</v>
      </c>
      <c r="G9" s="34">
        <f t="shared" si="6"/>
        <v>15.439339416053789</v>
      </c>
      <c r="H9" s="13">
        <v>99261.1796875</v>
      </c>
      <c r="I9" s="13">
        <v>15.439142227172852</v>
      </c>
      <c r="J9" s="13">
        <v>99253.4609375</v>
      </c>
      <c r="K9" s="13"/>
      <c r="L9" s="13">
        <f t="shared" si="5"/>
        <v>99254.725924141094</v>
      </c>
      <c r="M9" s="13">
        <v>7113407</v>
      </c>
      <c r="N9" s="13">
        <f>SUM(L9:L$89)</f>
        <v>7167834.8313995823</v>
      </c>
      <c r="O9" s="30">
        <v>71.663536071777344</v>
      </c>
      <c r="P9" s="36">
        <f t="shared" si="2"/>
        <v>72.210943308087735</v>
      </c>
      <c r="Q9" s="43">
        <f t="shared" si="3"/>
        <v>199.94049306237048</v>
      </c>
      <c r="R9" s="23">
        <f>Q9-'Cohort Method'!P9</f>
        <v>8.8779710267772316E-5</v>
      </c>
    </row>
    <row r="10" spans="1:18">
      <c r="A10" s="3" t="s">
        <v>22</v>
      </c>
      <c r="B10" s="11">
        <v>1.3845614739693701E-4</v>
      </c>
      <c r="C10" s="11">
        <f>'Opioid Mortality - WONDER'!H8/100000</f>
        <v>4.8327832820494486E-7</v>
      </c>
      <c r="D10" s="11">
        <f t="shared" si="0"/>
        <v>1.3797286906873206E-4</v>
      </c>
      <c r="E10" s="11">
        <f t="shared" si="1"/>
        <v>1.3797290240991078E-4</v>
      </c>
      <c r="F10" s="34">
        <f t="shared" si="4"/>
        <v>99247.006254433072</v>
      </c>
      <c r="G10" s="34">
        <f t="shared" si="6"/>
        <v>13.693397508418698</v>
      </c>
      <c r="H10" s="13">
        <v>99245.7421875</v>
      </c>
      <c r="I10" s="13">
        <v>13.741183280944824</v>
      </c>
      <c r="J10" s="13">
        <v>99238.875</v>
      </c>
      <c r="K10" s="13"/>
      <c r="L10" s="13">
        <f t="shared" si="5"/>
        <v>99240.159555678852</v>
      </c>
      <c r="M10" s="13">
        <v>7014153.5</v>
      </c>
      <c r="N10" s="13">
        <f>SUM(L10:L$89)</f>
        <v>7068580.1054754406</v>
      </c>
      <c r="O10" s="30">
        <v>70.674606323242188</v>
      </c>
      <c r="P10" s="36">
        <f t="shared" si="2"/>
        <v>71.222099005729035</v>
      </c>
      <c r="Q10" s="43">
        <f t="shared" si="3"/>
        <v>199.97170227832106</v>
      </c>
      <c r="R10" s="23">
        <f>Q10-'Cohort Method'!P10</f>
        <v>8.879351184987172E-5</v>
      </c>
    </row>
    <row r="11" spans="1:18">
      <c r="A11" s="3" t="s">
        <v>23</v>
      </c>
      <c r="B11" s="11">
        <v>1.2436427641659975E-4</v>
      </c>
      <c r="C11" s="11">
        <f>'Opioid Mortality - WONDER'!H9/100000</f>
        <v>0</v>
      </c>
      <c r="D11" s="11">
        <f t="shared" si="0"/>
        <v>1.2436427641659975E-4</v>
      </c>
      <c r="E11" s="11">
        <f t="shared" si="1"/>
        <v>1.2436427641659975E-4</v>
      </c>
      <c r="F11" s="34">
        <f t="shared" si="4"/>
        <v>99233.312856924647</v>
      </c>
      <c r="G11" s="34">
        <f t="shared" si="6"/>
        <v>12.341079149873499</v>
      </c>
      <c r="H11" s="13">
        <v>99232</v>
      </c>
      <c r="I11" s="13">
        <v>12.340915679931641</v>
      </c>
      <c r="J11" s="13">
        <v>99225.828125</v>
      </c>
      <c r="K11" s="13"/>
      <c r="L11" s="13">
        <f t="shared" si="5"/>
        <v>99227.142317349702</v>
      </c>
      <c r="M11" s="13">
        <v>6914914.5</v>
      </c>
      <c r="N11" s="13">
        <f>SUM(L11:L$89)</f>
        <v>6969339.9459197614</v>
      </c>
      <c r="O11" s="30">
        <v>69.684318542480469</v>
      </c>
      <c r="P11" s="36">
        <f t="shared" si="2"/>
        <v>70.231858085481932</v>
      </c>
      <c r="Q11" s="43">
        <f t="shared" si="3"/>
        <v>199.98881808128434</v>
      </c>
      <c r="R11" s="23">
        <f>Q11-'Cohort Method'!P11</f>
        <v>1.0313252667515371E-4</v>
      </c>
    </row>
    <row r="12" spans="1:18">
      <c r="A12" s="3" t="s">
        <v>24</v>
      </c>
      <c r="B12" s="11">
        <v>1.1041062680305913E-4</v>
      </c>
      <c r="C12" s="11">
        <f>'Opioid Mortality - WONDER'!H10/100000</f>
        <v>4.8492560271403164E-7</v>
      </c>
      <c r="D12" s="11">
        <f t="shared" si="0"/>
        <v>1.099257012003451E-4</v>
      </c>
      <c r="E12" s="11">
        <f t="shared" si="1"/>
        <v>1.0992572785417654E-4</v>
      </c>
      <c r="F12" s="34">
        <f t="shared" si="4"/>
        <v>99220.971777774772</v>
      </c>
      <c r="G12" s="34">
        <f t="shared" si="6"/>
        <v>10.906937541070601</v>
      </c>
      <c r="H12" s="13">
        <v>99219.65625</v>
      </c>
      <c r="I12" s="13">
        <v>10.954904556274414</v>
      </c>
      <c r="J12" s="13">
        <v>99214.1796875</v>
      </c>
      <c r="K12" s="13"/>
      <c r="L12" s="13">
        <f t="shared" si="5"/>
        <v>99215.518309004226</v>
      </c>
      <c r="M12" s="13">
        <v>6815689</v>
      </c>
      <c r="N12" s="13">
        <f>SUM(L12:L$89)</f>
        <v>6870112.8036024123</v>
      </c>
      <c r="O12" s="30">
        <v>68.69293212890625</v>
      </c>
      <c r="P12" s="36">
        <f t="shared" si="2"/>
        <v>69.240531316195984</v>
      </c>
      <c r="Q12" s="43">
        <f t="shared" si="3"/>
        <v>200.0106031575753</v>
      </c>
      <c r="R12" s="23">
        <f>Q12-'Cohort Method'!P12</f>
        <v>1.0314535242628153E-4</v>
      </c>
    </row>
    <row r="13" spans="1:18">
      <c r="A13" s="3" t="s">
        <v>25</v>
      </c>
      <c r="B13" s="11">
        <v>9.8203672678209841E-5</v>
      </c>
      <c r="C13" s="11">
        <f>'Opioid Mortality - WONDER'!H11/100000</f>
        <v>0</v>
      </c>
      <c r="D13" s="11">
        <f t="shared" si="0"/>
        <v>9.8203672678209841E-5</v>
      </c>
      <c r="E13" s="11">
        <f t="shared" si="1"/>
        <v>9.8203672678209841E-5</v>
      </c>
      <c r="F13" s="34">
        <f t="shared" si="4"/>
        <v>99210.064840233696</v>
      </c>
      <c r="G13" s="34">
        <f t="shared" si="6"/>
        <v>9.7427927339542837</v>
      </c>
      <c r="H13" s="13">
        <v>99208.703125</v>
      </c>
      <c r="I13" s="13">
        <v>9.7426586151123047</v>
      </c>
      <c r="J13" s="13">
        <v>99203.828125</v>
      </c>
      <c r="K13" s="13"/>
      <c r="L13" s="13">
        <f t="shared" si="5"/>
        <v>99205.193443866709</v>
      </c>
      <c r="M13" s="13">
        <v>6716474.5</v>
      </c>
      <c r="N13" s="13">
        <f>SUM(L13:L$89)</f>
        <v>6770897.2852934077</v>
      </c>
      <c r="O13" s="30">
        <v>67.700454711914062</v>
      </c>
      <c r="P13" s="36">
        <f t="shared" si="2"/>
        <v>68.248088499862916</v>
      </c>
      <c r="Q13" s="43">
        <f t="shared" si="3"/>
        <v>200.02324104831891</v>
      </c>
      <c r="R13" s="23">
        <f>Q13-'Cohort Method'!P13</f>
        <v>1.031566937115258E-4</v>
      </c>
    </row>
    <row r="14" spans="1:18">
      <c r="A14" s="3" t="s">
        <v>26</v>
      </c>
      <c r="B14" s="11">
        <v>9.3976806965656579E-5</v>
      </c>
      <c r="C14" s="11">
        <f>'Opioid Mortality - WONDER'!H12/100000</f>
        <v>9.3428169153568817E-7</v>
      </c>
      <c r="D14" s="11">
        <f t="shared" si="0"/>
        <v>9.3042525274120893E-5</v>
      </c>
      <c r="E14" s="11">
        <f t="shared" si="1"/>
        <v>9.3042568739432063E-5</v>
      </c>
      <c r="F14" s="34">
        <f t="shared" si="4"/>
        <v>99200.322047499736</v>
      </c>
      <c r="G14" s="34">
        <f t="shared" si="6"/>
        <v>9.229852783078293</v>
      </c>
      <c r="H14" s="13">
        <v>99198.9609375</v>
      </c>
      <c r="I14" s="13">
        <v>9.3224020004272461</v>
      </c>
      <c r="J14" s="13">
        <v>99194.296875</v>
      </c>
      <c r="K14" s="13"/>
      <c r="L14" s="13">
        <f t="shared" si="5"/>
        <v>99195.707121108208</v>
      </c>
      <c r="M14" s="13">
        <v>6617271</v>
      </c>
      <c r="N14" s="13">
        <f>SUM(L14:L$89)</f>
        <v>6671692.0918495413</v>
      </c>
      <c r="O14" s="30">
        <v>66.707061767578125</v>
      </c>
      <c r="P14" s="36">
        <f t="shared" si="2"/>
        <v>67.25474226439465</v>
      </c>
      <c r="Q14" s="43">
        <f t="shared" si="3"/>
        <v>200.0403014622359</v>
      </c>
      <c r="R14" s="23">
        <f>Q14-'Cohort Method'!P14</f>
        <v>8.8783338441089654E-5</v>
      </c>
    </row>
    <row r="15" spans="1:18">
      <c r="A15" s="3" t="s">
        <v>27</v>
      </c>
      <c r="B15" s="11">
        <v>1.0786124767037109E-4</v>
      </c>
      <c r="C15" s="11">
        <f>'Opioid Mortality - WONDER'!H13/100000</f>
        <v>4.7084991705978711E-7</v>
      </c>
      <c r="D15" s="11">
        <f t="shared" si="0"/>
        <v>1.073903977533113E-4</v>
      </c>
      <c r="E15" s="11">
        <f t="shared" si="1"/>
        <v>1.0739042303664625E-4</v>
      </c>
      <c r="F15" s="34">
        <f t="shared" si="4"/>
        <v>99191.092194716664</v>
      </c>
      <c r="G15" s="34">
        <f t="shared" si="6"/>
        <v>10.652173352257602</v>
      </c>
      <c r="H15" s="13">
        <v>99189.640625</v>
      </c>
      <c r="I15" s="13">
        <v>10.698718070983887</v>
      </c>
      <c r="J15" s="13">
        <v>99184.296875</v>
      </c>
      <c r="K15" s="13"/>
      <c r="L15" s="13">
        <f t="shared" si="5"/>
        <v>99185.766108040538</v>
      </c>
      <c r="M15" s="13">
        <v>6518076.5</v>
      </c>
      <c r="N15" s="13">
        <f>SUM(L15:L$89)</f>
        <v>6572496.3847284336</v>
      </c>
      <c r="O15" s="30">
        <v>65.713279724121094</v>
      </c>
      <c r="P15" s="36">
        <f t="shared" si="2"/>
        <v>66.260953875034687</v>
      </c>
      <c r="Q15" s="43">
        <f t="shared" si="3"/>
        <v>200.03798362118999</v>
      </c>
      <c r="R15" s="23">
        <f>Q15-'Cohort Method'!P15</f>
        <v>7.4547277478131946E-5</v>
      </c>
    </row>
    <row r="16" spans="1:18">
      <c r="A16" s="3" t="s">
        <v>28</v>
      </c>
      <c r="B16" s="11">
        <v>1.5155704750213772E-4</v>
      </c>
      <c r="C16" s="11">
        <f>'Opioid Mortality - WONDER'!H14/100000</f>
        <v>9.4506346101140697E-7</v>
      </c>
      <c r="D16" s="11">
        <f t="shared" si="0"/>
        <v>1.5061198404112632E-4</v>
      </c>
      <c r="E16" s="11">
        <f t="shared" si="1"/>
        <v>1.506120552137169E-4</v>
      </c>
      <c r="F16" s="34">
        <f t="shared" si="4"/>
        <v>99180.440021364411</v>
      </c>
      <c r="G16" s="34">
        <f t="shared" si="6"/>
        <v>14.937769908618474</v>
      </c>
      <c r="H16" s="13">
        <v>99178.9453125</v>
      </c>
      <c r="I16" s="13">
        <v>15.031268119812012</v>
      </c>
      <c r="J16" s="13">
        <v>99171.4296875</v>
      </c>
      <c r="K16" s="13"/>
      <c r="L16" s="13">
        <f t="shared" si="5"/>
        <v>99172.971136410109</v>
      </c>
      <c r="M16" s="13">
        <v>6418892.5</v>
      </c>
      <c r="N16" s="13">
        <f>SUM(L16:L$89)</f>
        <v>6473310.6186203938</v>
      </c>
      <c r="O16" s="30">
        <v>64.720314025878906</v>
      </c>
      <c r="P16" s="36">
        <f t="shared" si="2"/>
        <v>65.268016730173628</v>
      </c>
      <c r="Q16" s="43">
        <f t="shared" si="3"/>
        <v>200.04841274364696</v>
      </c>
      <c r="R16" s="23">
        <f>Q16-'Cohort Method'!P16</f>
        <v>8.8882736804407614E-5</v>
      </c>
    </row>
    <row r="17" spans="1:18">
      <c r="A17" s="3" t="s">
        <v>29</v>
      </c>
      <c r="B17" s="11">
        <v>2.3189505736809224E-4</v>
      </c>
      <c r="C17" s="11">
        <f>'Opioid Mortality - WONDER'!H15/100000</f>
        <v>9.435929566447344E-7</v>
      </c>
      <c r="D17" s="11">
        <f t="shared" si="0"/>
        <v>2.309514644114475E-4</v>
      </c>
      <c r="E17" s="11">
        <f t="shared" si="1"/>
        <v>2.3095157338204331E-4</v>
      </c>
      <c r="F17" s="34">
        <f t="shared" si="4"/>
        <v>99165.502251455793</v>
      </c>
      <c r="G17" s="34">
        <f t="shared" si="6"/>
        <v>22.902428770194273</v>
      </c>
      <c r="H17" s="13">
        <v>99163.9140625</v>
      </c>
      <c r="I17" s="13">
        <v>22.995620727539062</v>
      </c>
      <c r="J17" s="13">
        <v>99152.421875</v>
      </c>
      <c r="K17" s="13"/>
      <c r="L17" s="13">
        <f t="shared" si="5"/>
        <v>99154.051037070705</v>
      </c>
      <c r="M17" s="13">
        <v>6319721</v>
      </c>
      <c r="N17" s="13">
        <f>SUM(L17:L$89)</f>
        <v>6374137.647483984</v>
      </c>
      <c r="O17" s="30">
        <v>63.730049133300781</v>
      </c>
      <c r="P17" s="36">
        <f t="shared" si="2"/>
        <v>64.277773043703903</v>
      </c>
      <c r="Q17" s="43">
        <f t="shared" si="3"/>
        <v>200.05615827474006</v>
      </c>
      <c r="R17" s="23">
        <f>Q17-'Cohort Method'!P17</f>
        <v>8.889612314533224E-5</v>
      </c>
    </row>
    <row r="18" spans="1:18">
      <c r="A18" s="3" t="s">
        <v>30</v>
      </c>
      <c r="B18" s="11">
        <v>3.4138996852561831E-4</v>
      </c>
      <c r="C18" s="11">
        <f>'Opioid Mortality - WONDER'!H16/100000</f>
        <v>2.8506907936465704E-6</v>
      </c>
      <c r="D18" s="11">
        <f t="shared" si="0"/>
        <v>3.3853927773197176E-4</v>
      </c>
      <c r="E18" s="11">
        <f t="shared" si="1"/>
        <v>3.3853976032272026E-4</v>
      </c>
      <c r="F18" s="34">
        <f t="shared" si="4"/>
        <v>99142.599822685603</v>
      </c>
      <c r="G18" s="34">
        <f t="shared" si="6"/>
        <v>33.563711981743353</v>
      </c>
      <c r="H18" s="13">
        <v>99140.921875</v>
      </c>
      <c r="I18" s="13">
        <v>33.845714569091797</v>
      </c>
      <c r="J18" s="13">
        <v>99124</v>
      </c>
      <c r="K18" s="13"/>
      <c r="L18" s="13">
        <f t="shared" si="5"/>
        <v>99125.81796669474</v>
      </c>
      <c r="M18" s="13">
        <v>6220568.5</v>
      </c>
      <c r="N18" s="13">
        <f>SUM(L18:L$89)</f>
        <v>6274983.5964469118</v>
      </c>
      <c r="O18" s="30">
        <v>62.744712829589844</v>
      </c>
      <c r="P18" s="36">
        <f t="shared" si="2"/>
        <v>63.292506023339961</v>
      </c>
      <c r="Q18" s="43">
        <f t="shared" si="3"/>
        <v>200.08146401723016</v>
      </c>
      <c r="R18" s="23">
        <f>Q18-'Cohort Method'!P18</f>
        <v>1.0325144134526454E-4</v>
      </c>
    </row>
    <row r="19" spans="1:18">
      <c r="A19" s="3" t="s">
        <v>31</v>
      </c>
      <c r="B19" s="11">
        <v>4.61328134406358E-4</v>
      </c>
      <c r="C19" s="11">
        <f>'Opioid Mortality - WONDER'!H17/100000</f>
        <v>2.8587641848305397E-6</v>
      </c>
      <c r="D19" s="11">
        <f t="shared" si="0"/>
        <v>4.5846937022152746E-4</v>
      </c>
      <c r="E19" s="11">
        <f t="shared" si="1"/>
        <v>4.5847002565080341E-4</v>
      </c>
      <c r="F19" s="34">
        <f t="shared" si="4"/>
        <v>99109.036110703863</v>
      </c>
      <c r="G19" s="34">
        <f t="shared" si="6"/>
        <v>45.438522327900799</v>
      </c>
      <c r="H19" s="13">
        <v>99107.078125</v>
      </c>
      <c r="I19" s="13">
        <v>45.720882415771484</v>
      </c>
      <c r="J19" s="13">
        <v>99084.21875</v>
      </c>
      <c r="K19" s="13"/>
      <c r="L19" s="13">
        <f t="shared" si="5"/>
        <v>99086.316849539915</v>
      </c>
      <c r="M19" s="13">
        <v>6121444.5</v>
      </c>
      <c r="N19" s="13">
        <f>SUM(L19:L$89)</f>
        <v>6175857.7784802169</v>
      </c>
      <c r="O19" s="30">
        <v>61.765968322753906</v>
      </c>
      <c r="P19" s="36">
        <f t="shared" si="2"/>
        <v>62.313770982313272</v>
      </c>
      <c r="Q19" s="43">
        <f t="shared" si="3"/>
        <v>200.08492140405849</v>
      </c>
      <c r="R19" s="23">
        <f>Q19-'Cohort Method'!P19</f>
        <v>1.0328640726697813E-4</v>
      </c>
    </row>
    <row r="20" spans="1:18">
      <c r="A20" s="3" t="s">
        <v>32</v>
      </c>
      <c r="B20" s="11">
        <v>5.8416114188730717E-4</v>
      </c>
      <c r="C20" s="11">
        <f>'Opioid Mortality - WONDER'!H18/100000</f>
        <v>4.6384147011770902E-6</v>
      </c>
      <c r="D20" s="11">
        <f t="shared" si="0"/>
        <v>5.7952272718613006E-4</v>
      </c>
      <c r="E20" s="11">
        <f t="shared" si="1"/>
        <v>5.7952407148331719E-4</v>
      </c>
      <c r="F20" s="34">
        <f t="shared" si="4"/>
        <v>99063.597588375967</v>
      </c>
      <c r="G20" s="34">
        <f t="shared" si="6"/>
        <v>57.409739410200565</v>
      </c>
      <c r="H20" s="13">
        <v>99061.359375</v>
      </c>
      <c r="I20" s="13">
        <v>57.8677978515625</v>
      </c>
      <c r="J20" s="13">
        <v>99032.421875</v>
      </c>
      <c r="K20" s="13"/>
      <c r="L20" s="13">
        <f t="shared" si="5"/>
        <v>99034.892718670875</v>
      </c>
      <c r="M20" s="13">
        <v>6022360</v>
      </c>
      <c r="N20" s="13">
        <f>SUM(L20:L$89)</f>
        <v>6076771.4616306769</v>
      </c>
      <c r="O20" s="30">
        <v>60.794239044189453</v>
      </c>
      <c r="P20" s="36">
        <f t="shared" si="2"/>
        <v>61.342123742371733</v>
      </c>
      <c r="Q20" s="43">
        <f t="shared" si="3"/>
        <v>200.11488601107769</v>
      </c>
      <c r="R20" s="23">
        <f>Q20-'Cohort Method'!P20</f>
        <v>1.0333378367022306E-4</v>
      </c>
    </row>
    <row r="21" spans="1:18">
      <c r="A21" s="3" t="s">
        <v>33</v>
      </c>
      <c r="B21" s="11">
        <v>7.1757868863642216E-4</v>
      </c>
      <c r="C21" s="11">
        <f>'Opioid Mortality - WONDER'!H19/100000</f>
        <v>1.6833999999999998E-5</v>
      </c>
      <c r="D21" s="11">
        <f t="shared" si="0"/>
        <v>7.0074468863642219E-4</v>
      </c>
      <c r="E21" s="11">
        <f t="shared" si="1"/>
        <v>7.0075058824892178E-4</v>
      </c>
      <c r="F21" s="34">
        <f t="shared" si="4"/>
        <v>99006.187848965768</v>
      </c>
      <c r="G21" s="34">
        <f t="shared" si="6"/>
        <v>69.378644375446015</v>
      </c>
      <c r="H21" s="13">
        <v>99003.4921875</v>
      </c>
      <c r="I21" s="13">
        <v>71.042793273925781</v>
      </c>
      <c r="J21" s="13">
        <v>98967.96875</v>
      </c>
      <c r="K21" s="13"/>
      <c r="L21" s="13">
        <f t="shared" si="5"/>
        <v>98971.498526778043</v>
      </c>
      <c r="M21" s="13">
        <v>5923328</v>
      </c>
      <c r="N21" s="13">
        <f>SUM(L21:L$89)</f>
        <v>5977736.5689120051</v>
      </c>
      <c r="O21" s="30">
        <v>59.829486846923828</v>
      </c>
      <c r="P21" s="36">
        <f t="shared" si="2"/>
        <v>60.377403663203957</v>
      </c>
      <c r="Q21" s="43">
        <f t="shared" si="3"/>
        <v>200.12661714631699</v>
      </c>
      <c r="R21" s="23">
        <f>Q21-'Cohort Method'!P21</f>
        <v>8.9096827338153162E-5</v>
      </c>
    </row>
    <row r="22" spans="1:18">
      <c r="A22" s="3" t="s">
        <v>34</v>
      </c>
      <c r="B22" s="11">
        <v>8.5859786486253142E-4</v>
      </c>
      <c r="C22" s="11">
        <f>'Opioid Mortality - WONDER'!H20/100000</f>
        <v>4.2407000000000002E-5</v>
      </c>
      <c r="D22" s="11">
        <f t="shared" si="0"/>
        <v>8.1619086486253148E-4</v>
      </c>
      <c r="E22" s="11">
        <f t="shared" si="1"/>
        <v>8.1620817616545605E-4</v>
      </c>
      <c r="F22" s="34">
        <f t="shared" si="4"/>
        <v>98936.809204590318</v>
      </c>
      <c r="G22" s="34">
        <f t="shared" si="6"/>
        <v>80.753032596508362</v>
      </c>
      <c r="H22" s="13">
        <v>98932.453125</v>
      </c>
      <c r="I22" s="13">
        <v>84.943191528320312</v>
      </c>
      <c r="J22" s="13">
        <v>98889.984375</v>
      </c>
      <c r="K22" s="13"/>
      <c r="L22" s="13">
        <f t="shared" si="5"/>
        <v>98896.432688292072</v>
      </c>
      <c r="M22" s="13">
        <v>5824360</v>
      </c>
      <c r="N22" s="13">
        <f>SUM(L22:L$89)</f>
        <v>5878765.0703852279</v>
      </c>
      <c r="O22" s="30">
        <v>58.872085571289062</v>
      </c>
      <c r="P22" s="36">
        <f t="shared" si="2"/>
        <v>59.41939221254443</v>
      </c>
      <c r="Q22" s="43">
        <f t="shared" si="3"/>
        <v>199.90375071852307</v>
      </c>
      <c r="R22" s="23">
        <f>Q22-'Cohort Method'!P22</f>
        <v>7.5075474626373762E-5</v>
      </c>
    </row>
    <row r="23" spans="1:18">
      <c r="A23" s="3" t="s">
        <v>35</v>
      </c>
      <c r="B23" s="11">
        <v>1.0014867875725031E-3</v>
      </c>
      <c r="C23" s="11">
        <f>'Opioid Mortality - WONDER'!H21/100000</f>
        <v>9.3185999999999999E-5</v>
      </c>
      <c r="D23" s="11">
        <f t="shared" si="0"/>
        <v>9.083007875725031E-4</v>
      </c>
      <c r="E23" s="11">
        <f t="shared" si="1"/>
        <v>9.0834312348153645E-4</v>
      </c>
      <c r="F23" s="34">
        <f t="shared" si="4"/>
        <v>98856.056171993812</v>
      </c>
      <c r="G23" s="34">
        <f t="shared" si="6"/>
        <v>89.795218838335074</v>
      </c>
      <c r="H23" s="13">
        <v>98847.5078125</v>
      </c>
      <c r="I23" s="13">
        <v>98.994476318359375</v>
      </c>
      <c r="J23" s="13">
        <v>98798.015625</v>
      </c>
      <c r="K23" s="13"/>
      <c r="L23" s="13">
        <f t="shared" si="5"/>
        <v>98811.158562574637</v>
      </c>
      <c r="M23" s="13">
        <v>5725470</v>
      </c>
      <c r="N23" s="13">
        <f>SUM(L23:L$89)</f>
        <v>5779868.6376969358</v>
      </c>
      <c r="O23" s="30">
        <v>57.922248840332031</v>
      </c>
      <c r="P23" s="36">
        <f t="shared" si="2"/>
        <v>58.46752198611771</v>
      </c>
      <c r="Q23" s="43">
        <f t="shared" si="3"/>
        <v>199.16101649821908</v>
      </c>
      <c r="R23" s="23">
        <f>Q23-'Cohort Method'!P23</f>
        <v>8.8857189069813103E-5</v>
      </c>
    </row>
    <row r="24" spans="1:18">
      <c r="A24" s="3" t="s">
        <v>36</v>
      </c>
      <c r="B24" s="11">
        <v>1.1470711324363947E-3</v>
      </c>
      <c r="C24" s="11">
        <f>'Opioid Mortality - WONDER'!H22/100000</f>
        <v>1.3714900000000001E-4</v>
      </c>
      <c r="D24" s="11">
        <f t="shared" si="0"/>
        <v>1.0099221324363947E-3</v>
      </c>
      <c r="E24" s="11">
        <f t="shared" si="1"/>
        <v>1.0099914170058621E-3</v>
      </c>
      <c r="F24" s="34">
        <f t="shared" si="4"/>
        <v>98766.260953155477</v>
      </c>
      <c r="G24" s="34">
        <f t="shared" si="6"/>
        <v>99.753075852448248</v>
      </c>
      <c r="H24" s="13">
        <v>98748.515625</v>
      </c>
      <c r="I24" s="13">
        <v>113.27156829833984</v>
      </c>
      <c r="J24" s="13">
        <v>98691.875</v>
      </c>
      <c r="K24" s="13"/>
      <c r="L24" s="13">
        <f t="shared" si="5"/>
        <v>98716.384415229244</v>
      </c>
      <c r="M24" s="13">
        <v>5626672</v>
      </c>
      <c r="N24" s="13">
        <f>SUM(L24:L$89)</f>
        <v>5681057.4791343603</v>
      </c>
      <c r="O24" s="30">
        <v>56.979812622070312</v>
      </c>
      <c r="P24" s="36">
        <f t="shared" si="2"/>
        <v>57.520224257845172</v>
      </c>
      <c r="Q24" s="43">
        <f t="shared" si="3"/>
        <v>197.38534996676731</v>
      </c>
      <c r="R24" s="23">
        <f>Q24-'Cohort Method'!P24</f>
        <v>1.0204167253391461E-4</v>
      </c>
    </row>
    <row r="25" spans="1:18">
      <c r="A25" s="3" t="s">
        <v>37</v>
      </c>
      <c r="B25" s="11">
        <v>1.2859423877671361E-3</v>
      </c>
      <c r="C25" s="11">
        <f>'Opioid Mortality - WONDER'!H23/100000</f>
        <v>1.6305499999999998E-4</v>
      </c>
      <c r="D25" s="11">
        <f t="shared" si="0"/>
        <v>1.122887387767136E-3</v>
      </c>
      <c r="E25" s="11">
        <f t="shared" si="1"/>
        <v>1.1229789782156718E-3</v>
      </c>
      <c r="F25" s="34">
        <f t="shared" si="4"/>
        <v>98666.507877303025</v>
      </c>
      <c r="G25" s="34">
        <f t="shared" si="6"/>
        <v>110.80041420016229</v>
      </c>
      <c r="H25" s="13">
        <v>98635.2421875</v>
      </c>
      <c r="I25" s="13">
        <v>126.83924102783203</v>
      </c>
      <c r="J25" s="13">
        <v>98571.828125</v>
      </c>
      <c r="K25" s="13"/>
      <c r="L25" s="13">
        <f t="shared" si="5"/>
        <v>98611.107670202953</v>
      </c>
      <c r="M25" s="13">
        <v>5527980</v>
      </c>
      <c r="N25" s="13">
        <f>SUM(L25:L$89)</f>
        <v>5582341.0947191305</v>
      </c>
      <c r="O25" s="30">
        <v>56.044673919677734</v>
      </c>
      <c r="P25" s="36">
        <f t="shared" si="2"/>
        <v>56.57787241908941</v>
      </c>
      <c r="Q25" s="43">
        <f t="shared" si="3"/>
        <v>194.75075191011436</v>
      </c>
      <c r="R25" s="23">
        <f>Q25-'Cohort Method'!P25</f>
        <v>8.9410433076864138E-5</v>
      </c>
    </row>
    <row r="26" spans="1:18">
      <c r="A26" s="3" t="s">
        <v>38</v>
      </c>
      <c r="B26" s="11">
        <v>1.4028329169377685E-3</v>
      </c>
      <c r="C26" s="11">
        <f>'Opioid Mortality - WONDER'!H24/100000</f>
        <v>2.2113099999999998E-4</v>
      </c>
      <c r="D26" s="11">
        <f t="shared" si="0"/>
        <v>1.1817019169377684E-3</v>
      </c>
      <c r="E26" s="11">
        <f t="shared" si="1"/>
        <v>1.1818326431811688E-3</v>
      </c>
      <c r="F26" s="34">
        <f t="shared" si="4"/>
        <v>98555.707463102866</v>
      </c>
      <c r="G26" s="34">
        <f t="shared" si="6"/>
        <v>116.4763522517089</v>
      </c>
      <c r="H26" s="13">
        <v>98508.40625</v>
      </c>
      <c r="I26" s="13">
        <v>138.19084167480469</v>
      </c>
      <c r="J26" s="13">
        <v>98439.3125</v>
      </c>
      <c r="K26" s="13"/>
      <c r="L26" s="13">
        <f t="shared" si="5"/>
        <v>98497.469286977022</v>
      </c>
      <c r="M26" s="13">
        <v>5429408</v>
      </c>
      <c r="N26" s="13">
        <f>SUM(L26:L$89)</f>
        <v>5483729.9870489277</v>
      </c>
      <c r="O26" s="30">
        <v>55.116188049316406</v>
      </c>
      <c r="P26" s="36">
        <f t="shared" si="2"/>
        <v>55.64091748924757</v>
      </c>
      <c r="Q26" s="43">
        <f t="shared" si="3"/>
        <v>191.65742793485771</v>
      </c>
      <c r="R26" s="23">
        <f>Q26-'Cohort Method'!P26</f>
        <v>1.0215737168550731E-4</v>
      </c>
    </row>
    <row r="27" spans="1:18">
      <c r="A27" s="3" t="s">
        <v>39</v>
      </c>
      <c r="B27" s="11">
        <v>1.4899933012202382E-3</v>
      </c>
      <c r="C27" s="11">
        <f>'Opioid Mortality - WONDER'!H25/100000</f>
        <v>2.7686900000000001E-4</v>
      </c>
      <c r="D27" s="11">
        <f t="shared" si="0"/>
        <v>1.2131243012202383E-3</v>
      </c>
      <c r="E27" s="11">
        <f t="shared" si="1"/>
        <v>1.2132923384648997E-3</v>
      </c>
      <c r="F27" s="34">
        <f t="shared" si="4"/>
        <v>98439.231110851164</v>
      </c>
      <c r="G27" s="34">
        <f t="shared" si="6"/>
        <v>119.43556491117131</v>
      </c>
      <c r="H27" s="13">
        <v>98370.21875</v>
      </c>
      <c r="I27" s="13">
        <v>146.57096862792969</v>
      </c>
      <c r="J27" s="13">
        <v>98296.9375</v>
      </c>
      <c r="K27" s="13"/>
      <c r="L27" s="13">
        <f t="shared" si="5"/>
        <v>98379.51332839558</v>
      </c>
      <c r="M27" s="13">
        <v>5330969</v>
      </c>
      <c r="N27" s="13">
        <f>SUM(L27:L$89)</f>
        <v>5385232.5177619513</v>
      </c>
      <c r="O27" s="30">
        <v>54.192916870117188</v>
      </c>
      <c r="P27" s="36">
        <f t="shared" si="2"/>
        <v>54.706161933525358</v>
      </c>
      <c r="Q27" s="43">
        <f t="shared" si="3"/>
        <v>187.46275940983435</v>
      </c>
      <c r="R27" s="23">
        <f>Q27-'Cohort Method'!P27</f>
        <v>1.022782458335314E-4</v>
      </c>
    </row>
    <row r="28" spans="1:18">
      <c r="A28" s="3" t="s">
        <v>40</v>
      </c>
      <c r="B28" s="11">
        <v>1.5538185834884644E-3</v>
      </c>
      <c r="C28" s="11">
        <f>'Opioid Mortality - WONDER'!H26/100000</f>
        <v>3.1032400000000001E-4</v>
      </c>
      <c r="D28" s="11">
        <f t="shared" si="0"/>
        <v>1.2434945834884643E-3</v>
      </c>
      <c r="E28" s="11">
        <f t="shared" si="1"/>
        <v>1.2436876465887758E-3</v>
      </c>
      <c r="F28" s="34">
        <f t="shared" si="4"/>
        <v>98319.795545939996</v>
      </c>
      <c r="G28" s="34">
        <f t="shared" si="6"/>
        <v>122.27911513561972</v>
      </c>
      <c r="H28" s="13">
        <v>98223.6484375</v>
      </c>
      <c r="I28" s="13">
        <v>152.62173461914062</v>
      </c>
      <c r="J28" s="13">
        <v>98147.3359375</v>
      </c>
      <c r="K28" s="13"/>
      <c r="L28" s="13">
        <f t="shared" si="5"/>
        <v>98258.655988372178</v>
      </c>
      <c r="M28" s="13">
        <v>5232672</v>
      </c>
      <c r="N28" s="13">
        <f>SUM(L28:L$89)</f>
        <v>5286853.0044335555</v>
      </c>
      <c r="O28" s="30">
        <v>53.273036956787109</v>
      </c>
      <c r="P28" s="36">
        <f t="shared" si="2"/>
        <v>53.772009747144658</v>
      </c>
      <c r="Q28" s="43">
        <f t="shared" si="3"/>
        <v>182.24981167809457</v>
      </c>
      <c r="R28" s="23">
        <f>Q28-'Cohort Method'!P28</f>
        <v>1.1422737637190039E-4</v>
      </c>
    </row>
    <row r="29" spans="1:18">
      <c r="A29" s="3" t="s">
        <v>41</v>
      </c>
      <c r="B29" s="11">
        <v>1.609192113392055E-3</v>
      </c>
      <c r="C29" s="11">
        <f>'Opioid Mortality - WONDER'!H27/100000</f>
        <v>3.2775700000000003E-4</v>
      </c>
      <c r="D29" s="11">
        <f t="shared" si="0"/>
        <v>1.2814351133920549E-3</v>
      </c>
      <c r="E29" s="11">
        <f t="shared" si="1"/>
        <v>1.2816452487628416E-3</v>
      </c>
      <c r="F29" s="34">
        <f t="shared" si="4"/>
        <v>98197.516430804375</v>
      </c>
      <c r="G29" s="34">
        <f t="shared" si="6"/>
        <v>125.8543803738515</v>
      </c>
      <c r="H29" s="13">
        <v>98071.0234375</v>
      </c>
      <c r="I29" s="13">
        <v>157.81512451171875</v>
      </c>
      <c r="J29" s="13">
        <v>97992.1171875</v>
      </c>
      <c r="K29" s="13"/>
      <c r="L29" s="13">
        <f t="shared" si="5"/>
        <v>98134.589240617439</v>
      </c>
      <c r="M29" s="13">
        <v>5134524.5</v>
      </c>
      <c r="N29" s="13">
        <f>SUM(L29:L$89)</f>
        <v>5188594.3484451836</v>
      </c>
      <c r="O29" s="30">
        <v>52.35516357421875</v>
      </c>
      <c r="P29" s="36">
        <f t="shared" si="2"/>
        <v>52.838345989140834</v>
      </c>
      <c r="Q29" s="43">
        <f t="shared" si="3"/>
        <v>176.48237705029103</v>
      </c>
      <c r="R29" s="23">
        <f>Q29-'Cohort Method'!P29</f>
        <v>1.1436961983690708E-4</v>
      </c>
    </row>
    <row r="30" spans="1:18">
      <c r="A30" s="3" t="s">
        <v>42</v>
      </c>
      <c r="B30" s="11">
        <v>1.6636601649224758E-3</v>
      </c>
      <c r="C30" s="11">
        <f>'Opioid Mortality - WONDER'!H28/100000</f>
        <v>3.7070799999999998E-4</v>
      </c>
      <c r="D30" s="11">
        <f t="shared" si="0"/>
        <v>1.2929521649224758E-3</v>
      </c>
      <c r="E30" s="11">
        <f t="shared" si="1"/>
        <v>1.2931919814431758E-3</v>
      </c>
      <c r="F30" s="34">
        <f t="shared" si="4"/>
        <v>98071.662050430517</v>
      </c>
      <c r="G30" s="34">
        <f t="shared" si="6"/>
        <v>126.82548697042175</v>
      </c>
      <c r="H30" s="13">
        <v>97913.2109375</v>
      </c>
      <c r="I30" s="13">
        <v>162.89430236816406</v>
      </c>
      <c r="J30" s="13">
        <v>97831.765625</v>
      </c>
      <c r="K30" s="13"/>
      <c r="L30" s="13">
        <f t="shared" si="5"/>
        <v>98008.249306945305</v>
      </c>
      <c r="M30" s="13">
        <v>5036532.5</v>
      </c>
      <c r="N30" s="13">
        <f>SUM(L30:L$89)</f>
        <v>5090459.7592045655</v>
      </c>
      <c r="O30" s="30">
        <v>51.438743591308594</v>
      </c>
      <c r="P30" s="36">
        <f t="shared" si="2"/>
        <v>51.905511263660891</v>
      </c>
      <c r="Q30" s="43">
        <f t="shared" si="3"/>
        <v>170.48689232667661</v>
      </c>
      <c r="R30" s="23">
        <f>Q30-'Cohort Method'!P30</f>
        <v>1.1451638425796773E-4</v>
      </c>
    </row>
    <row r="31" spans="1:18">
      <c r="A31" s="3" t="s">
        <v>43</v>
      </c>
      <c r="B31" s="11">
        <v>1.71330024022609E-3</v>
      </c>
      <c r="C31" s="11">
        <f>'Opioid Mortality - WONDER'!H29/100000</f>
        <v>4.0243699999999996E-4</v>
      </c>
      <c r="D31" s="11">
        <f t="shared" si="0"/>
        <v>1.3108632402260901E-3</v>
      </c>
      <c r="E31" s="11">
        <f t="shared" si="1"/>
        <v>1.3111271963618387E-3</v>
      </c>
      <c r="F31" s="34">
        <f t="shared" si="4"/>
        <v>97944.836563460092</v>
      </c>
      <c r="G31" s="34">
        <f t="shared" si="6"/>
        <v>128.41813896156793</v>
      </c>
      <c r="H31" s="13">
        <v>97750.3203125</v>
      </c>
      <c r="I31" s="13">
        <v>167.47564697265625</v>
      </c>
      <c r="J31" s="13">
        <v>97666.578125</v>
      </c>
      <c r="K31" s="13"/>
      <c r="L31" s="13">
        <f t="shared" si="5"/>
        <v>97880.627493979307</v>
      </c>
      <c r="M31" s="13">
        <v>4938700.5</v>
      </c>
      <c r="N31" s="13">
        <f>SUM(L31:L$89)</f>
        <v>4992451.5098976204</v>
      </c>
      <c r="O31" s="30">
        <v>50.523624420166016</v>
      </c>
      <c r="P31" s="36">
        <f t="shared" si="2"/>
        <v>50.972074537721319</v>
      </c>
      <c r="Q31" s="43">
        <f t="shared" si="3"/>
        <v>163.79640543707461</v>
      </c>
      <c r="R31" s="23">
        <f>Q31-'Cohort Method'!P31</f>
        <v>1.1466467205423214E-4</v>
      </c>
    </row>
    <row r="32" spans="1:18">
      <c r="A32" s="3" t="s">
        <v>44</v>
      </c>
      <c r="B32" s="11">
        <v>1.7615470569580793E-3</v>
      </c>
      <c r="C32" s="11">
        <f>'Opioid Mortality - WONDER'!H30/100000</f>
        <v>4.23979E-4</v>
      </c>
      <c r="D32" s="11">
        <f t="shared" si="0"/>
        <v>1.3375680569580792E-3</v>
      </c>
      <c r="E32" s="11">
        <f t="shared" si="1"/>
        <v>1.3378518141147211E-3</v>
      </c>
      <c r="F32" s="34">
        <f t="shared" si="4"/>
        <v>97816.418424498523</v>
      </c>
      <c r="G32" s="34">
        <f t="shared" si="6"/>
        <v>130.86387283941997</v>
      </c>
      <c r="H32" s="13">
        <v>97582.84375</v>
      </c>
      <c r="I32" s="13">
        <v>171.89677429199219</v>
      </c>
      <c r="J32" s="13">
        <v>97496.890625</v>
      </c>
      <c r="K32" s="13"/>
      <c r="L32" s="13">
        <f t="shared" si="5"/>
        <v>97750.986488078823</v>
      </c>
      <c r="M32" s="13">
        <v>4841034</v>
      </c>
      <c r="N32" s="13">
        <f>SUM(L32:L$89)</f>
        <v>4894570.8824036419</v>
      </c>
      <c r="O32" s="30">
        <v>49.609477996826172</v>
      </c>
      <c r="P32" s="36">
        <f t="shared" si="2"/>
        <v>50.038336725460972</v>
      </c>
      <c r="Q32" s="43">
        <f t="shared" si="3"/>
        <v>156.64065063386087</v>
      </c>
      <c r="R32" s="23">
        <f>Q32-'Cohort Method'!P32</f>
        <v>1.0363085240783221E-4</v>
      </c>
    </row>
    <row r="33" spans="1:18">
      <c r="A33" s="3" t="s">
        <v>45</v>
      </c>
      <c r="B33" s="11">
        <v>1.81030691601336E-3</v>
      </c>
      <c r="C33" s="11">
        <f>'Opioid Mortality - WONDER'!H31/100000</f>
        <v>4.41335E-4</v>
      </c>
      <c r="D33" s="11">
        <f t="shared" si="0"/>
        <v>1.3689719160133601E-3</v>
      </c>
      <c r="E33" s="11">
        <f t="shared" si="1"/>
        <v>1.3692742305851935E-3</v>
      </c>
      <c r="F33" s="34">
        <f t="shared" si="4"/>
        <v>97685.554551659108</v>
      </c>
      <c r="G33" s="34">
        <f t="shared" si="6"/>
        <v>133.75831254801096</v>
      </c>
      <c r="H33" s="13">
        <v>97410.9453125</v>
      </c>
      <c r="I33" s="13">
        <v>176.34370422363281</v>
      </c>
      <c r="J33" s="13">
        <v>97322.7734375</v>
      </c>
      <c r="K33" s="13"/>
      <c r="L33" s="13">
        <f t="shared" si="5"/>
        <v>97618.6753953851</v>
      </c>
      <c r="M33" s="13">
        <v>4743537</v>
      </c>
      <c r="N33" s="13">
        <f>SUM(L33:L$89)</f>
        <v>4796819.8959155641</v>
      </c>
      <c r="O33" s="30">
        <v>48.696140289306641</v>
      </c>
      <c r="P33" s="36">
        <f t="shared" si="2"/>
        <v>49.104700463965315</v>
      </c>
      <c r="Q33" s="43">
        <f t="shared" si="3"/>
        <v>149.22660379408092</v>
      </c>
      <c r="R33" s="23">
        <f>Q33-'Cohort Method'!P33</f>
        <v>9.2650632609547756E-5</v>
      </c>
    </row>
    <row r="34" spans="1:18">
      <c r="A34" s="3" t="s">
        <v>46</v>
      </c>
      <c r="B34" s="11">
        <v>1.8587581580504775E-3</v>
      </c>
      <c r="C34" s="11">
        <f>'Opioid Mortality - WONDER'!H32/100000</f>
        <v>4.2122200000000001E-4</v>
      </c>
      <c r="D34" s="11">
        <f t="shared" si="0"/>
        <v>1.4375361580504775E-3</v>
      </c>
      <c r="E34" s="11">
        <f t="shared" si="1"/>
        <v>1.4378391493129472E-3</v>
      </c>
      <c r="F34" s="34">
        <f t="shared" si="4"/>
        <v>97551.796239111092</v>
      </c>
      <c r="G34" s="34">
        <f t="shared" si="6"/>
        <v>140.26379171839346</v>
      </c>
      <c r="H34" s="13">
        <v>97234.6015625</v>
      </c>
      <c r="I34" s="13">
        <v>180.73561096191406</v>
      </c>
      <c r="J34" s="13">
        <v>97144.234375</v>
      </c>
      <c r="K34" s="13"/>
      <c r="L34" s="13">
        <f t="shared" si="5"/>
        <v>97481.664343251905</v>
      </c>
      <c r="M34" s="13">
        <v>4646214.5</v>
      </c>
      <c r="N34" s="13">
        <f>SUM(L34:L$89)</f>
        <v>4699201.2205201779</v>
      </c>
      <c r="O34" s="30">
        <v>47.783550262451172</v>
      </c>
      <c r="P34" s="36">
        <f t="shared" si="2"/>
        <v>48.171344882280536</v>
      </c>
      <c r="Q34" s="43">
        <f t="shared" si="3"/>
        <v>141.64198489267528</v>
      </c>
      <c r="R34" s="23">
        <f>Q34-'Cohort Method'!P34</f>
        <v>9.277766525883635E-5</v>
      </c>
    </row>
    <row r="35" spans="1:18">
      <c r="A35" s="3" t="s">
        <v>47</v>
      </c>
      <c r="B35" s="11">
        <v>1.9074579467996955E-3</v>
      </c>
      <c r="C35" s="11">
        <f>'Opioid Mortality - WONDER'!H33/100000</f>
        <v>4.3537200000000001E-4</v>
      </c>
      <c r="D35" s="11">
        <f t="shared" si="0"/>
        <v>1.4720859467996954E-3</v>
      </c>
      <c r="E35" s="11">
        <f t="shared" si="1"/>
        <v>1.4724066498226218E-3</v>
      </c>
      <c r="F35" s="34">
        <f t="shared" si="4"/>
        <v>97411.532447392703</v>
      </c>
      <c r="G35" s="34">
        <f t="shared" si="6"/>
        <v>143.42938814495312</v>
      </c>
      <c r="H35" s="13">
        <v>97053.8671875</v>
      </c>
      <c r="I35" s="13">
        <v>185.12617492675781</v>
      </c>
      <c r="J35" s="13">
        <v>96961.3046875</v>
      </c>
      <c r="K35" s="13"/>
      <c r="L35" s="13">
        <f t="shared" si="5"/>
        <v>97339.817753320225</v>
      </c>
      <c r="M35" s="13">
        <v>4549070</v>
      </c>
      <c r="N35" s="13">
        <f>SUM(L35:L$89)</f>
        <v>4601719.556176926</v>
      </c>
      <c r="O35" s="30">
        <v>46.871601104736328</v>
      </c>
      <c r="P35" s="36">
        <f t="shared" si="2"/>
        <v>47.23998730501539</v>
      </c>
      <c r="Q35" s="43">
        <f t="shared" si="3"/>
        <v>134.55305965192736</v>
      </c>
      <c r="R35" s="23">
        <f>Q35-'Cohort Method'!P35</f>
        <v>9.291125874710815E-5</v>
      </c>
    </row>
    <row r="36" spans="1:18">
      <c r="A36" s="3" t="s">
        <v>48</v>
      </c>
      <c r="B36" s="11">
        <v>1.9591974560171366E-3</v>
      </c>
      <c r="C36" s="11">
        <f>'Opioid Mortality - WONDER'!H34/100000</f>
        <v>4.52211E-4</v>
      </c>
      <c r="D36" s="11">
        <f t="shared" si="0"/>
        <v>1.5069864560171365E-3</v>
      </c>
      <c r="E36" s="11">
        <f t="shared" si="1"/>
        <v>1.5073274681289828E-3</v>
      </c>
      <c r="F36" s="34">
        <f t="shared" si="4"/>
        <v>97268.103059247747</v>
      </c>
      <c r="G36" s="34">
        <f t="shared" si="6"/>
        <v>146.61488351400487</v>
      </c>
      <c r="H36" s="13">
        <v>96868.7421875</v>
      </c>
      <c r="I36" s="13">
        <v>189.78498840332031</v>
      </c>
      <c r="J36" s="13">
        <v>96773.8515625</v>
      </c>
      <c r="K36" s="13"/>
      <c r="L36" s="13">
        <f t="shared" si="5"/>
        <v>97194.795617490745</v>
      </c>
      <c r="M36" s="13">
        <v>4452109</v>
      </c>
      <c r="N36" s="13">
        <f>SUM(L36:L$89)</f>
        <v>4504379.7384236045</v>
      </c>
      <c r="O36" s="30">
        <v>45.960224151611328</v>
      </c>
      <c r="P36" s="36">
        <f t="shared" si="2"/>
        <v>46.308909053977395</v>
      </c>
      <c r="Q36" s="43">
        <f t="shared" si="3"/>
        <v>127.35716058920588</v>
      </c>
      <c r="R36" s="23">
        <f>Q36-'Cohort Method'!P36</f>
        <v>9.3048259785177834E-5</v>
      </c>
    </row>
    <row r="37" spans="1:18">
      <c r="A37" s="3" t="s">
        <v>49</v>
      </c>
      <c r="B37" s="11">
        <v>2.014129189774394E-3</v>
      </c>
      <c r="C37" s="11">
        <f>'Opioid Mortality - WONDER'!H35/100000</f>
        <v>4.6215299999999998E-4</v>
      </c>
      <c r="D37" s="11">
        <f t="shared" si="0"/>
        <v>1.5519761897743942E-3</v>
      </c>
      <c r="E37" s="11">
        <f t="shared" si="1"/>
        <v>1.552335111352221E-3</v>
      </c>
      <c r="F37" s="34">
        <f t="shared" si="4"/>
        <v>97121.488175733743</v>
      </c>
      <c r="G37" s="34">
        <f t="shared" si="6"/>
        <v>150.76509616197106</v>
      </c>
      <c r="H37" s="13">
        <v>96678.9609375</v>
      </c>
      <c r="I37" s="13">
        <v>194.72392272949219</v>
      </c>
      <c r="J37" s="13">
        <v>96581.59375</v>
      </c>
      <c r="K37" s="13"/>
      <c r="L37" s="13">
        <f t="shared" si="5"/>
        <v>97046.105627652767</v>
      </c>
      <c r="M37" s="13">
        <v>4355335</v>
      </c>
      <c r="N37" s="13">
        <f>SUM(L37:L$89)</f>
        <v>4407184.9428061135</v>
      </c>
      <c r="O37" s="30">
        <v>45.049461364746094</v>
      </c>
      <c r="P37" s="36">
        <f t="shared" si="2"/>
        <v>45.378062317493082</v>
      </c>
      <c r="Q37" s="43">
        <f t="shared" si="3"/>
        <v>120.0214979908376</v>
      </c>
      <c r="R37" s="23">
        <f>Q37-'Cohort Method'!P37</f>
        <v>9.3188722900094945E-5</v>
      </c>
    </row>
    <row r="38" spans="1:18">
      <c r="A38" s="3" t="s">
        <v>50</v>
      </c>
      <c r="B38" s="11">
        <v>2.0716269500553608E-3</v>
      </c>
      <c r="C38" s="11">
        <f>'Opioid Mortality - WONDER'!H36/100000</f>
        <v>4.4713700000000001E-4</v>
      </c>
      <c r="D38" s="11">
        <f t="shared" si="0"/>
        <v>1.6244899500553608E-3</v>
      </c>
      <c r="E38" s="11">
        <f t="shared" si="1"/>
        <v>1.6248534401127612E-3</v>
      </c>
      <c r="F38" s="34">
        <f t="shared" si="4"/>
        <v>96970.723079571777</v>
      </c>
      <c r="G38" s="34">
        <f t="shared" si="6"/>
        <v>157.56321298606414</v>
      </c>
      <c r="H38" s="13">
        <v>96484.234375</v>
      </c>
      <c r="I38" s="13">
        <v>199.87933349609375</v>
      </c>
      <c r="J38" s="13">
        <v>96384.296875</v>
      </c>
      <c r="K38" s="13"/>
      <c r="L38" s="13">
        <f t="shared" si="5"/>
        <v>96891.941473078754</v>
      </c>
      <c r="M38" s="13">
        <v>4258753.5</v>
      </c>
      <c r="N38" s="13">
        <f>SUM(L38:L$89)</f>
        <v>4310138.8371784613</v>
      </c>
      <c r="O38" s="30">
        <v>44.139369964599609</v>
      </c>
      <c r="P38" s="36">
        <f t="shared" si="2"/>
        <v>44.447836422150509</v>
      </c>
      <c r="Q38" s="43">
        <f t="shared" si="3"/>
        <v>112.66737362046605</v>
      </c>
      <c r="R38" s="23">
        <f>Q38-'Cohort Method'!P38</f>
        <v>8.1941998729462284E-5</v>
      </c>
    </row>
    <row r="39" spans="1:18">
      <c r="A39" s="3" t="s">
        <v>51</v>
      </c>
      <c r="B39" s="11">
        <v>2.1390151232481003E-3</v>
      </c>
      <c r="C39" s="11">
        <f>'Opioid Mortality - WONDER'!H37/100000</f>
        <v>4.5061599999999998E-4</v>
      </c>
      <c r="D39" s="11">
        <f t="shared" si="0"/>
        <v>1.6883991232481002E-3</v>
      </c>
      <c r="E39" s="11">
        <f t="shared" si="1"/>
        <v>1.6887798618402394E-3</v>
      </c>
      <c r="F39" s="34">
        <f t="shared" si="4"/>
        <v>96813.159866585716</v>
      </c>
      <c r="G39" s="34">
        <f t="shared" si="6"/>
        <v>163.49611474380964</v>
      </c>
      <c r="H39" s="13">
        <v>96284.3515625</v>
      </c>
      <c r="I39" s="13">
        <v>205.95368957519531</v>
      </c>
      <c r="J39" s="13">
        <v>96181.375</v>
      </c>
      <c r="K39" s="13"/>
      <c r="L39" s="13">
        <f t="shared" si="5"/>
        <v>96731.411809213809</v>
      </c>
      <c r="M39" s="13">
        <v>4162369.25</v>
      </c>
      <c r="N39" s="13">
        <f>SUM(L39:L$89)</f>
        <v>4213246.8957053823</v>
      </c>
      <c r="O39" s="30">
        <v>43.229965209960938</v>
      </c>
      <c r="P39" s="36">
        <f t="shared" si="2"/>
        <v>43.519361433006495</v>
      </c>
      <c r="Q39" s="43">
        <f t="shared" si="3"/>
        <v>105.70197046738974</v>
      </c>
      <c r="R39" s="23">
        <f>Q39-'Cohort Method'!P39</f>
        <v>9.3692392283628578E-5</v>
      </c>
    </row>
    <row r="40" spans="1:18">
      <c r="A40" s="3" t="s">
        <v>52</v>
      </c>
      <c r="B40" s="11">
        <v>2.2113339509814978E-3</v>
      </c>
      <c r="C40" s="11">
        <f>'Opioid Mortality - WONDER'!H38/100000</f>
        <v>4.3592199999999999E-4</v>
      </c>
      <c r="D40" s="11">
        <f t="shared" si="0"/>
        <v>1.7754119509814977E-3</v>
      </c>
      <c r="E40" s="11">
        <f t="shared" si="1"/>
        <v>1.7757992634311881E-3</v>
      </c>
      <c r="F40" s="34">
        <f t="shared" si="4"/>
        <v>96649.663751841901</v>
      </c>
      <c r="G40" s="34">
        <f t="shared" si="6"/>
        <v>171.63040170139286</v>
      </c>
      <c r="H40" s="13">
        <v>96078.3984375</v>
      </c>
      <c r="I40" s="13">
        <v>212.46142578125</v>
      </c>
      <c r="J40" s="13">
        <v>95972.171875</v>
      </c>
      <c r="K40" s="13"/>
      <c r="L40" s="13">
        <f t="shared" si="5"/>
        <v>96563.848550991213</v>
      </c>
      <c r="M40" s="13">
        <v>4066187.75</v>
      </c>
      <c r="N40" s="13">
        <f>SUM(L40:L$89)</f>
        <v>4116515.4838961675</v>
      </c>
      <c r="O40" s="30">
        <v>42.321559906005859</v>
      </c>
      <c r="P40" s="36">
        <f t="shared" si="2"/>
        <v>42.592134562058597</v>
      </c>
      <c r="Q40" s="43">
        <f t="shared" si="3"/>
        <v>98.827393123262311</v>
      </c>
      <c r="R40" s="23">
        <f>Q40-'Cohort Method'!P40</f>
        <v>9.3850879451906621E-5</v>
      </c>
    </row>
    <row r="41" spans="1:18">
      <c r="A41" s="3" t="s">
        <v>53</v>
      </c>
      <c r="B41" s="11">
        <v>2.2768150083720684E-3</v>
      </c>
      <c r="C41" s="11">
        <f>'Opioid Mortality - WONDER'!H39/100000</f>
        <v>4.0196300000000003E-4</v>
      </c>
      <c r="D41" s="11">
        <f t="shared" si="0"/>
        <v>1.8748520083720684E-3</v>
      </c>
      <c r="E41" s="11">
        <f t="shared" si="1"/>
        <v>1.8752291558223888E-3</v>
      </c>
      <c r="F41" s="34">
        <f t="shared" si="4"/>
        <v>96478.033350140511</v>
      </c>
      <c r="G41" s="34">
        <f t="shared" si="6"/>
        <v>180.91842103458828</v>
      </c>
      <c r="H41" s="13">
        <v>95865.9375</v>
      </c>
      <c r="I41" s="13">
        <v>218.26901245117188</v>
      </c>
      <c r="J41" s="13">
        <v>95756.8046875</v>
      </c>
      <c r="K41" s="13"/>
      <c r="L41" s="13">
        <f t="shared" si="5"/>
        <v>96387.574139623219</v>
      </c>
      <c r="M41" s="13">
        <v>3970215.5</v>
      </c>
      <c r="N41" s="13">
        <f>SUM(L41:L$89)</f>
        <v>4019951.6353451763</v>
      </c>
      <c r="O41" s="30">
        <v>41.41424560546875</v>
      </c>
      <c r="P41" s="36">
        <f t="shared" si="2"/>
        <v>41.667014715731888</v>
      </c>
      <c r="Q41" s="43">
        <f t="shared" si="3"/>
        <v>92.323917523611144</v>
      </c>
      <c r="R41" s="23">
        <f>Q41-'Cohort Method'!P41</f>
        <v>1.0596423531694654E-4</v>
      </c>
    </row>
    <row r="42" spans="1:18">
      <c r="A42" s="3" t="s">
        <v>54</v>
      </c>
      <c r="B42" s="11">
        <v>2.3329313844442368E-3</v>
      </c>
      <c r="C42" s="11">
        <f>'Opioid Mortality - WONDER'!H40/100000</f>
        <v>4.0162999999999999E-4</v>
      </c>
      <c r="D42" s="11">
        <f t="shared" si="0"/>
        <v>1.9313013844442367E-3</v>
      </c>
      <c r="E42" s="11">
        <f t="shared" si="1"/>
        <v>1.9316895726991801E-3</v>
      </c>
      <c r="F42" s="34">
        <f t="shared" si="4"/>
        <v>96297.114929105926</v>
      </c>
      <c r="G42" s="34">
        <f t="shared" si="6"/>
        <v>186.01613278956847</v>
      </c>
      <c r="H42" s="13">
        <v>95647.671875</v>
      </c>
      <c r="I42" s="13">
        <v>223.13945007324219</v>
      </c>
      <c r="J42" s="13">
        <v>95536.1015625</v>
      </c>
      <c r="K42" s="13"/>
      <c r="L42" s="13">
        <f t="shared" si="5"/>
        <v>96204.106862711153</v>
      </c>
      <c r="M42" s="13">
        <v>3874458.75</v>
      </c>
      <c r="N42" s="13">
        <f>SUM(L42:L$89)</f>
        <v>3923564.0612055534</v>
      </c>
      <c r="O42" s="30">
        <v>40.507610321044922</v>
      </c>
      <c r="P42" s="36">
        <f t="shared" si="2"/>
        <v>40.744357337123617</v>
      </c>
      <c r="Q42" s="43">
        <f t="shared" si="3"/>
        <v>86.471847622743383</v>
      </c>
      <c r="R42" s="23">
        <f>Q42-'Cohort Method'!P42</f>
        <v>1.0616331491064557E-4</v>
      </c>
    </row>
    <row r="43" spans="1:18">
      <c r="A43" s="3" t="s">
        <v>55</v>
      </c>
      <c r="B43" s="11">
        <v>2.3898361250758171E-3</v>
      </c>
      <c r="C43" s="11">
        <f>'Opioid Mortality - WONDER'!H41/100000</f>
        <v>4.0736400000000001E-4</v>
      </c>
      <c r="D43" s="11">
        <f t="shared" si="0"/>
        <v>1.9824721250758172E-3</v>
      </c>
      <c r="E43" s="11">
        <f t="shared" si="1"/>
        <v>1.9828762959496204E-3</v>
      </c>
      <c r="F43" s="34">
        <f t="shared" si="4"/>
        <v>96111.098796316364</v>
      </c>
      <c r="G43" s="34">
        <f t="shared" si="6"/>
        <v>190.57641958088783</v>
      </c>
      <c r="H43" s="13">
        <v>95424.53125</v>
      </c>
      <c r="I43" s="13">
        <v>228.04899597167969</v>
      </c>
      <c r="J43" s="13">
        <v>95310.5078125</v>
      </c>
      <c r="K43" s="13"/>
      <c r="L43" s="13">
        <f t="shared" si="5"/>
        <v>96015.810586525913</v>
      </c>
      <c r="M43" s="13">
        <v>3778922.75</v>
      </c>
      <c r="N43" s="13">
        <f>SUM(L43:L$89)</f>
        <v>3827359.9543428426</v>
      </c>
      <c r="O43" s="30">
        <v>39.601165771484375</v>
      </c>
      <c r="P43" s="36">
        <f t="shared" si="2"/>
        <v>39.822247401977819</v>
      </c>
      <c r="Q43" s="43">
        <f t="shared" si="3"/>
        <v>80.750065537730421</v>
      </c>
      <c r="R43" s="23">
        <f>Q43-'Cohort Method'!P43</f>
        <v>1.0636879181902259E-4</v>
      </c>
    </row>
    <row r="44" spans="1:18">
      <c r="A44" s="3" t="s">
        <v>56</v>
      </c>
      <c r="B44" s="11">
        <v>2.4626462254673243E-3</v>
      </c>
      <c r="C44" s="11">
        <f>'Opioid Mortality - WONDER'!H42/100000</f>
        <v>3.6166400000000004E-4</v>
      </c>
      <c r="D44" s="11">
        <f t="shared" si="0"/>
        <v>2.100982225467324E-3</v>
      </c>
      <c r="E44" s="11">
        <f t="shared" si="1"/>
        <v>2.1013625084337351E-3</v>
      </c>
      <c r="F44" s="34">
        <f t="shared" si="4"/>
        <v>95920.522376735476</v>
      </c>
      <c r="G44" s="34">
        <f t="shared" si="6"/>
        <v>201.56378951185107</v>
      </c>
      <c r="H44" s="13">
        <v>95196.484375</v>
      </c>
      <c r="I44" s="13">
        <v>234.43525695800781</v>
      </c>
      <c r="J44" s="13">
        <v>95079.265625</v>
      </c>
      <c r="K44" s="13"/>
      <c r="L44" s="13">
        <f t="shared" si="5"/>
        <v>95819.740481979548</v>
      </c>
      <c r="M44" s="13">
        <v>3683612.25</v>
      </c>
      <c r="N44" s="13">
        <f>SUM(L44:L$89)</f>
        <v>3731344.1437563165</v>
      </c>
      <c r="O44" s="30">
        <v>38.694835662841797</v>
      </c>
      <c r="P44" s="36">
        <f t="shared" si="2"/>
        <v>38.900373468580227</v>
      </c>
      <c r="Q44" s="43">
        <f t="shared" si="3"/>
        <v>75.072683545961667</v>
      </c>
      <c r="R44" s="23">
        <f>Q44-'Cohort Method'!P44</f>
        <v>1.0658012621433954E-4</v>
      </c>
    </row>
    <row r="45" spans="1:18">
      <c r="A45" s="3" t="s">
        <v>57</v>
      </c>
      <c r="B45" s="11">
        <v>2.5655240751802921E-3</v>
      </c>
      <c r="C45" s="11">
        <f>'Opioid Mortality - WONDER'!H43/100000</f>
        <v>3.7207000000000001E-4</v>
      </c>
      <c r="D45" s="11">
        <f t="shared" si="0"/>
        <v>2.1934540751802922E-3</v>
      </c>
      <c r="E45" s="11">
        <f t="shared" si="1"/>
        <v>2.1938625345305773E-3</v>
      </c>
      <c r="F45" s="34">
        <f t="shared" si="4"/>
        <v>95718.95858722362</v>
      </c>
      <c r="G45" s="34">
        <f t="shared" si="6"/>
        <v>209.9942370887938</v>
      </c>
      <c r="H45" s="13">
        <v>94962.046875</v>
      </c>
      <c r="I45" s="13">
        <v>243.62741088867188</v>
      </c>
      <c r="J45" s="13">
        <v>94840.234375</v>
      </c>
      <c r="K45" s="13"/>
      <c r="L45" s="13">
        <f t="shared" si="5"/>
        <v>95613.961468679234</v>
      </c>
      <c r="M45" s="13">
        <v>3588533</v>
      </c>
      <c r="N45" s="13">
        <f>SUM(L45:L$89)</f>
        <v>3635524.4032743368</v>
      </c>
      <c r="O45" s="30">
        <v>37.789127349853516</v>
      </c>
      <c r="P45" s="36">
        <f t="shared" si="2"/>
        <v>37.981236496231581</v>
      </c>
      <c r="Q45" s="43">
        <f t="shared" si="3"/>
        <v>70.16786571458843</v>
      </c>
      <c r="R45" s="23">
        <f>Q45-'Cohort Method'!P45</f>
        <v>1.0680456146872075E-4</v>
      </c>
    </row>
    <row r="46" spans="1:18">
      <c r="A46" s="3" t="s">
        <v>58</v>
      </c>
      <c r="B46" s="11">
        <v>2.7009788900613785E-3</v>
      </c>
      <c r="C46" s="11">
        <f>'Opioid Mortality - WONDER'!H44/100000</f>
        <v>3.2955899999999999E-4</v>
      </c>
      <c r="D46" s="11">
        <f t="shared" si="0"/>
        <v>2.3714198900613784E-3</v>
      </c>
      <c r="E46" s="11">
        <f t="shared" si="1"/>
        <v>2.3718110467507714E-3</v>
      </c>
      <c r="F46" s="34">
        <f>F45*(1-E45)</f>
        <v>95508.964350134833</v>
      </c>
      <c r="G46" s="34">
        <f t="shared" si="6"/>
        <v>226.52921670937539</v>
      </c>
      <c r="H46" s="13">
        <v>94718.421875</v>
      </c>
      <c r="I46" s="13">
        <v>255.83245849609375</v>
      </c>
      <c r="J46" s="13">
        <v>94590.5</v>
      </c>
      <c r="L46" s="13">
        <f t="shared" si="5"/>
        <v>95395.699741780147</v>
      </c>
      <c r="M46" s="13">
        <v>3493692.75</v>
      </c>
      <c r="N46" s="13">
        <f>SUM(L46:L$89)</f>
        <v>3539910.4418056579</v>
      </c>
      <c r="O46" s="30">
        <v>36.885040283203125</v>
      </c>
      <c r="P46" s="36">
        <f t="shared" si="2"/>
        <v>37.063645971789462</v>
      </c>
      <c r="Q46" s="43">
        <f t="shared" si="3"/>
        <v>65.235727756159733</v>
      </c>
      <c r="R46" s="23">
        <f>Q46-'Cohort Method'!P46</f>
        <v>1.0703939072698176E-4</v>
      </c>
    </row>
    <row r="47" spans="1:18">
      <c r="A47" s="3" t="s">
        <v>59</v>
      </c>
      <c r="B47" s="11">
        <v>2.8696933295577765E-3</v>
      </c>
      <c r="C47" s="11">
        <f>'Opioid Mortality - WONDER'!H45/100000</f>
        <v>3.26705E-4</v>
      </c>
      <c r="D47" s="11">
        <f t="shared" si="0"/>
        <v>2.5429883295577764E-3</v>
      </c>
      <c r="E47" s="11">
        <f t="shared" si="1"/>
        <v>2.5434041763297E-3</v>
      </c>
      <c r="F47" s="34">
        <f t="shared" si="4"/>
        <v>95282.435133425461</v>
      </c>
      <c r="G47" s="34">
        <f t="shared" si="6"/>
        <v>242.34174344921806</v>
      </c>
      <c r="H47" s="13">
        <v>94462.5859375</v>
      </c>
      <c r="I47" s="13">
        <v>271.07864379882812</v>
      </c>
      <c r="J47" s="13">
        <v>94327.046875</v>
      </c>
      <c r="K47" s="13"/>
      <c r="L47" s="13">
        <f t="shared" si="5"/>
        <v>95161.264261700853</v>
      </c>
      <c r="M47" s="13">
        <v>3399102.25</v>
      </c>
      <c r="N47" s="13">
        <f>SUM(L47:L$89)</f>
        <v>3444514.7420638776</v>
      </c>
      <c r="O47" s="30">
        <v>35.98358154296875</v>
      </c>
      <c r="P47" s="36">
        <f t="shared" si="2"/>
        <v>36.150574208567093</v>
      </c>
      <c r="Q47" s="43">
        <f t="shared" si="3"/>
        <v>60.994071109794831</v>
      </c>
      <c r="R47" s="23">
        <f>Q47-'Cohort Method'!P47</f>
        <v>9.4035197221842282E-5</v>
      </c>
    </row>
    <row r="48" spans="1:18">
      <c r="A48" s="3" t="s">
        <v>60</v>
      </c>
      <c r="B48" s="11">
        <v>3.0660501215606928E-3</v>
      </c>
      <c r="C48" s="11">
        <f>'Opioid Mortality - WONDER'!H46/100000</f>
        <v>3.0456600000000004E-4</v>
      </c>
      <c r="D48" s="11">
        <f t="shared" si="0"/>
        <v>2.7614841215606927E-3</v>
      </c>
      <c r="E48" s="11">
        <f t="shared" si="1"/>
        <v>2.7619051218873425E-3</v>
      </c>
      <c r="F48" s="34">
        <f t="shared" si="4"/>
        <v>95040.093389976246</v>
      </c>
      <c r="G48" s="34">
        <f t="shared" si="6"/>
        <v>262.49172071842673</v>
      </c>
      <c r="H48" s="13">
        <v>94191.5078125</v>
      </c>
      <c r="I48" s="13">
        <v>288.7958984375</v>
      </c>
      <c r="J48" s="13">
        <v>94047.109375</v>
      </c>
      <c r="K48" s="13"/>
      <c r="L48" s="13">
        <f t="shared" si="5"/>
        <v>94908.847529617022</v>
      </c>
      <c r="M48" s="13">
        <v>3304775.25</v>
      </c>
      <c r="N48" s="13">
        <f>SUM(L48:L$89)</f>
        <v>3349353.477802177</v>
      </c>
      <c r="O48" s="30">
        <v>35.085700988769531</v>
      </c>
      <c r="P48" s="36">
        <f t="shared" si="2"/>
        <v>35.241479236124455</v>
      </c>
      <c r="Q48" s="43">
        <f t="shared" si="3"/>
        <v>56.898004846385938</v>
      </c>
      <c r="R48" s="23">
        <f>Q48-'Cohort Method'!P48</f>
        <v>9.4274975644736969E-5</v>
      </c>
    </row>
    <row r="49" spans="1:18">
      <c r="A49" s="3" t="s">
        <v>61</v>
      </c>
      <c r="B49" s="11">
        <v>3.2801120541989803E-3</v>
      </c>
      <c r="C49" s="11">
        <f>'Opioid Mortality - WONDER'!H47/100000</f>
        <v>3.3085999999999999E-4</v>
      </c>
      <c r="D49" s="11">
        <f t="shared" si="0"/>
        <v>2.9492520541989802E-3</v>
      </c>
      <c r="E49" s="11">
        <f t="shared" si="1"/>
        <v>2.9497405372381769E-3</v>
      </c>
      <c r="F49" s="34">
        <f t="shared" si="4"/>
        <v>94777.601669257812</v>
      </c>
      <c r="G49" s="34">
        <f t="shared" si="6"/>
        <v>279.56933366602249</v>
      </c>
      <c r="H49" s="13">
        <v>93902.7109375</v>
      </c>
      <c r="I49" s="13">
        <v>308.01141357421875</v>
      </c>
      <c r="J49" s="13">
        <v>93748.703125</v>
      </c>
      <c r="K49" s="13"/>
      <c r="L49" s="13">
        <f t="shared" si="5"/>
        <v>94637.81700242481</v>
      </c>
      <c r="M49" s="13">
        <v>3210728</v>
      </c>
      <c r="N49" s="13">
        <f>SUM(L49:L$89)</f>
        <v>3254444.6302725594</v>
      </c>
      <c r="O49" s="30">
        <v>34.192070007324219</v>
      </c>
      <c r="P49" s="36">
        <f t="shared" si="2"/>
        <v>34.337697651703451</v>
      </c>
      <c r="Q49" s="43">
        <f t="shared" si="3"/>
        <v>53.19049710951446</v>
      </c>
      <c r="R49" s="23">
        <f>Q49-'Cohort Method'!P49</f>
        <v>9.4536071507889119E-5</v>
      </c>
    </row>
    <row r="50" spans="1:18">
      <c r="A50" s="3" t="s">
        <v>62</v>
      </c>
      <c r="B50" s="11">
        <v>3.5201031714677811E-3</v>
      </c>
      <c r="C50" s="11">
        <f>'Opioid Mortality - WONDER'!H48/100000</f>
        <v>3.2011400000000003E-4</v>
      </c>
      <c r="D50" s="11">
        <f t="shared" si="0"/>
        <v>3.1999891714677813E-3</v>
      </c>
      <c r="E50" s="11">
        <f t="shared" si="1"/>
        <v>3.2005020089719283E-3</v>
      </c>
      <c r="F50" s="34">
        <f t="shared" si="4"/>
        <v>94498.032335591794</v>
      </c>
      <c r="G50" s="34">
        <f t="shared" si="6"/>
        <v>302.44114233395578</v>
      </c>
      <c r="H50" s="13">
        <v>93594.703125</v>
      </c>
      <c r="I50" s="13">
        <v>329.4630126953125</v>
      </c>
      <c r="J50" s="13">
        <v>93429.96875</v>
      </c>
      <c r="K50" s="13"/>
      <c r="L50" s="13">
        <f t="shared" si="5"/>
        <v>94346.811764424812</v>
      </c>
      <c r="M50" s="13">
        <v>3116979.25</v>
      </c>
      <c r="N50" s="13">
        <f>SUM(L50:L$89)</f>
        <v>3159806.8132701344</v>
      </c>
      <c r="O50" s="30">
        <v>33.302944183349609</v>
      </c>
      <c r="P50" s="36">
        <f t="shared" si="2"/>
        <v>33.437805371954006</v>
      </c>
      <c r="Q50" s="43">
        <f t="shared" si="3"/>
        <v>49.258049137755961</v>
      </c>
      <c r="R50" s="23">
        <f>Q50-'Cohort Method'!P50</f>
        <v>8.1111505991771082E-5</v>
      </c>
    </row>
    <row r="51" spans="1:18">
      <c r="A51" s="3" t="s">
        <v>63</v>
      </c>
      <c r="B51" s="11">
        <v>3.803920466452837E-3</v>
      </c>
      <c r="C51" s="11">
        <f>'Opioid Mortality - WONDER'!H49/100000</f>
        <v>3.3413800000000005E-4</v>
      </c>
      <c r="D51" s="11">
        <f t="shared" si="0"/>
        <v>3.4697824664528371E-3</v>
      </c>
      <c r="E51" s="11">
        <f t="shared" si="1"/>
        <v>3.4703629607323316E-3</v>
      </c>
      <c r="F51" s="34">
        <f>F50*(1-E50)</f>
        <v>94195.591193257831</v>
      </c>
      <c r="G51" s="34">
        <f t="shared" si="6"/>
        <v>326.89289074136661</v>
      </c>
      <c r="H51" s="13">
        <v>93265.2421875</v>
      </c>
      <c r="I51" s="13">
        <v>354.7735595703125</v>
      </c>
      <c r="J51" s="13">
        <v>93087.859375</v>
      </c>
      <c r="K51" s="13"/>
      <c r="L51" s="13">
        <f t="shared" si="5"/>
        <v>94032.144747887156</v>
      </c>
      <c r="M51" s="13">
        <v>3023549.25</v>
      </c>
      <c r="N51" s="13">
        <f>SUM(L51:L$89)</f>
        <v>3065460.0015057097</v>
      </c>
      <c r="O51" s="30">
        <v>32.4188232421875</v>
      </c>
      <c r="P51" s="36">
        <f t="shared" si="2"/>
        <v>32.543561356458945</v>
      </c>
      <c r="Q51" s="43">
        <f t="shared" si="3"/>
        <v>45.560596237645122</v>
      </c>
      <c r="R51" s="23">
        <f>Q51-'Cohort Method'!P51</f>
        <v>6.7467397286691266E-5</v>
      </c>
    </row>
    <row r="52" spans="1:18">
      <c r="A52" s="3" t="s">
        <v>64</v>
      </c>
      <c r="B52" s="11">
        <v>4.1459756903350353E-3</v>
      </c>
      <c r="C52" s="11">
        <f>'Opioid Mortality - WONDER'!H50/100000</f>
        <v>3.04281E-4</v>
      </c>
      <c r="D52" s="11">
        <f t="shared" si="0"/>
        <v>3.8416946903350353E-3</v>
      </c>
      <c r="E52" s="11">
        <f t="shared" si="1"/>
        <v>3.8422800365788268E-3</v>
      </c>
      <c r="F52" s="34">
        <f t="shared" si="4"/>
        <v>93868.698302516466</v>
      </c>
      <c r="G52" s="34">
        <f t="shared" si="6"/>
        <v>360.6698255473998</v>
      </c>
      <c r="H52" s="13">
        <v>92910.46875</v>
      </c>
      <c r="I52" s="13">
        <v>385.20455932617188</v>
      </c>
      <c r="J52" s="13">
        <v>92717.8671875</v>
      </c>
      <c r="K52" s="13"/>
      <c r="L52" s="13">
        <f t="shared" si="5"/>
        <v>93688.363389742764</v>
      </c>
      <c r="M52" s="13">
        <v>2930461.5</v>
      </c>
      <c r="N52" s="13">
        <f>SUM(L52:L$89)</f>
        <v>2971427.856757822</v>
      </c>
      <c r="O52" s="30">
        <v>31.540702819824219</v>
      </c>
      <c r="P52" s="36">
        <f t="shared" si="2"/>
        <v>31.655151402884243</v>
      </c>
      <c r="Q52" s="43">
        <f t="shared" si="3"/>
        <v>41.802344962673985</v>
      </c>
      <c r="R52" s="23">
        <f>Q52-'Cohort Method'!P52</f>
        <v>8.1707369304240274E-5</v>
      </c>
    </row>
    <row r="53" spans="1:18">
      <c r="A53" s="3" t="s">
        <v>65</v>
      </c>
      <c r="B53" s="11">
        <v>4.5468863099813461E-3</v>
      </c>
      <c r="C53" s="11">
        <f>'Opioid Mortality - WONDER'!H51/100000</f>
        <v>3.19375E-4</v>
      </c>
      <c r="D53" s="11">
        <f t="shared" si="0"/>
        <v>4.2275113099813459E-3</v>
      </c>
      <c r="E53" s="11">
        <f t="shared" si="1"/>
        <v>4.2281874883175474E-3</v>
      </c>
      <c r="F53" s="34">
        <f t="shared" si="4"/>
        <v>93508.028476969062</v>
      </c>
      <c r="G53" s="34">
        <f t="shared" si="6"/>
        <v>395.36947606356154</v>
      </c>
      <c r="H53" s="13">
        <v>92525.265625</v>
      </c>
      <c r="I53" s="13">
        <v>420.70187377929688</v>
      </c>
      <c r="J53" s="13">
        <v>92314.9140625</v>
      </c>
      <c r="K53" s="13"/>
      <c r="L53" s="13">
        <f t="shared" si="5"/>
        <v>93310.343738937285</v>
      </c>
      <c r="M53" s="13">
        <v>2837743.75</v>
      </c>
      <c r="N53" s="13">
        <f>SUM(L53:L$89)</f>
        <v>2877739.493368079</v>
      </c>
      <c r="O53" s="30">
        <v>30.669933319091797</v>
      </c>
      <c r="P53" s="36">
        <f t="shared" si="2"/>
        <v>30.775319940328583</v>
      </c>
      <c r="Q53" s="43">
        <f t="shared" si="3"/>
        <v>38.492463406736</v>
      </c>
      <c r="R53" s="23">
        <f>Q53-'Cohort Method'!P53</f>
        <v>8.2022525667468926E-5</v>
      </c>
    </row>
    <row r="54" spans="1:18">
      <c r="A54" s="3" t="s">
        <v>66</v>
      </c>
      <c r="B54" s="11">
        <v>4.9782963469624519E-3</v>
      </c>
      <c r="C54" s="11">
        <f>'Opioid Mortality - WONDER'!H52/100000</f>
        <v>3.0688600000000003E-4</v>
      </c>
      <c r="D54" s="11">
        <f t="shared" si="0"/>
        <v>4.6714103469624518E-3</v>
      </c>
      <c r="E54" s="11">
        <f t="shared" si="1"/>
        <v>4.6721284082281711E-3</v>
      </c>
      <c r="F54" s="34">
        <f t="shared" si="4"/>
        <v>93112.659000905507</v>
      </c>
      <c r="G54" s="34">
        <f t="shared" si="6"/>
        <v>435.03429928379313</v>
      </c>
      <c r="H54" s="13">
        <v>92104.5625</v>
      </c>
      <c r="I54" s="13">
        <v>458.5238037109375</v>
      </c>
      <c r="J54" s="13">
        <v>91875.296875</v>
      </c>
      <c r="K54" s="13"/>
      <c r="L54" s="13">
        <f t="shared" si="5"/>
        <v>92895.141851263601</v>
      </c>
      <c r="M54" s="13">
        <v>2745428.75</v>
      </c>
      <c r="N54" s="13">
        <f>SUM(L54:L$89)</f>
        <v>2784429.1496291417</v>
      </c>
      <c r="O54" s="30">
        <v>29.8077392578125</v>
      </c>
      <c r="P54" s="36">
        <f t="shared" si="2"/>
        <v>29.903873216659655</v>
      </c>
      <c r="Q54" s="43">
        <f t="shared" si="3"/>
        <v>35.112928468923215</v>
      </c>
      <c r="R54" s="23">
        <f>Q54-'Cohort Method'!P54</f>
        <v>8.2370806609333158E-5</v>
      </c>
    </row>
    <row r="55" spans="1:18">
      <c r="A55" s="3" t="s">
        <v>67</v>
      </c>
      <c r="B55" s="11">
        <v>5.4409313015639782E-3</v>
      </c>
      <c r="C55" s="11">
        <f>'Opioid Mortality - WONDER'!H53/100000</f>
        <v>3.2080599999999998E-4</v>
      </c>
      <c r="D55" s="11">
        <f t="shared" si="0"/>
        <v>5.1201253015639783E-3</v>
      </c>
      <c r="E55" s="11">
        <f t="shared" si="1"/>
        <v>5.1209481667949808E-3</v>
      </c>
      <c r="F55" s="34">
        <f t="shared" si="4"/>
        <v>92677.624701621709</v>
      </c>
      <c r="G55" s="34">
        <f t="shared" si="6"/>
        <v>474.5973123186829</v>
      </c>
      <c r="H55" s="13">
        <v>91646.0390625</v>
      </c>
      <c r="I55" s="13">
        <v>498.63980102539062</v>
      </c>
      <c r="J55" s="13">
        <v>91396.71875</v>
      </c>
      <c r="K55" s="13"/>
      <c r="L55" s="13">
        <f t="shared" si="5"/>
        <v>92440.326045462367</v>
      </c>
      <c r="M55" s="13">
        <v>2653553.5</v>
      </c>
      <c r="N55" s="13">
        <f>SUM(L55:L$89)</f>
        <v>2691534.0077778785</v>
      </c>
      <c r="O55" s="30">
        <v>28.954372406005859</v>
      </c>
      <c r="P55" s="36">
        <f t="shared" si="2"/>
        <v>29.041896751706251</v>
      </c>
      <c r="Q55" s="43">
        <f t="shared" si="3"/>
        <v>31.968267267067862</v>
      </c>
      <c r="R55" s="23">
        <f>Q55-'Cohort Method'!P55</f>
        <v>6.8151260570914474E-5</v>
      </c>
    </row>
    <row r="56" spans="1:18">
      <c r="A56" s="3" t="s">
        <v>68</v>
      </c>
      <c r="B56" s="11">
        <v>5.9650964103639126E-3</v>
      </c>
      <c r="C56" s="11">
        <f>'Opioid Mortality - WONDER'!H54/100000</f>
        <v>2.8758000000000001E-4</v>
      </c>
      <c r="D56" s="11">
        <f t="shared" si="0"/>
        <v>5.6775164103639126E-3</v>
      </c>
      <c r="E56" s="11">
        <f t="shared" si="1"/>
        <v>5.6783344871640384E-3</v>
      </c>
      <c r="F56" s="34">
        <f t="shared" si="4"/>
        <v>92203.027389303024</v>
      </c>
      <c r="G56" s="34">
        <f t="shared" si="6"/>
        <v>523.55963024560981</v>
      </c>
      <c r="H56" s="13">
        <v>91147.3984375</v>
      </c>
      <c r="I56" s="13">
        <v>543.7030029296875</v>
      </c>
      <c r="J56" s="13">
        <v>90875.546875</v>
      </c>
      <c r="K56" s="13"/>
      <c r="L56" s="13">
        <f t="shared" si="5"/>
        <v>91941.247574180219</v>
      </c>
      <c r="M56" s="13">
        <v>2562156.75</v>
      </c>
      <c r="N56" s="13">
        <f>SUM(L56:L$89)</f>
        <v>2599093.6817324166</v>
      </c>
      <c r="O56" s="30">
        <v>28.110036849975586</v>
      </c>
      <c r="P56" s="36">
        <f t="shared" si="2"/>
        <v>28.188810664084027</v>
      </c>
      <c r="Q56" s="43">
        <f t="shared" si="3"/>
        <v>28.772135603108108</v>
      </c>
      <c r="R56" s="23">
        <f>Q56-'Cohort Method'!P56</f>
        <v>6.8502057612107592E-5</v>
      </c>
    </row>
    <row r="57" spans="1:18">
      <c r="A57" s="3" t="s">
        <v>69</v>
      </c>
      <c r="B57" s="11">
        <v>6.5485280938446522E-3</v>
      </c>
      <c r="C57" s="11">
        <f>'Opioid Mortality - WONDER'!H55/100000</f>
        <v>3.2126699999999997E-4</v>
      </c>
      <c r="D57" s="11">
        <f t="shared" si="0"/>
        <v>6.2272610938446521E-3</v>
      </c>
      <c r="E57" s="11">
        <f t="shared" si="1"/>
        <v>6.2282636989385853E-3</v>
      </c>
      <c r="F57" s="34">
        <f t="shared" si="4"/>
        <v>91679.467759057414</v>
      </c>
      <c r="G57" s="34">
        <f t="shared" si="6"/>
        <v>571.00390098174773</v>
      </c>
      <c r="H57" s="13">
        <v>90603.6953125</v>
      </c>
      <c r="I57" s="13">
        <v>593.32086181640625</v>
      </c>
      <c r="J57" s="13">
        <v>90307.03125</v>
      </c>
      <c r="K57" s="13"/>
      <c r="L57" s="13">
        <f t="shared" si="5"/>
        <v>91393.965808566543</v>
      </c>
      <c r="M57" s="13">
        <v>2471281.25</v>
      </c>
      <c r="N57" s="13">
        <f>SUM(L57:L$89)</f>
        <v>2507152.4341582367</v>
      </c>
      <c r="O57" s="30">
        <v>27.275722503662109</v>
      </c>
      <c r="P57" s="36">
        <f t="shared" si="2"/>
        <v>27.346934874745106</v>
      </c>
      <c r="Q57" s="43">
        <f t="shared" si="3"/>
        <v>26.010318538064428</v>
      </c>
      <c r="R57" s="23">
        <f>Q57-'Cohort Method'!P57</f>
        <v>6.8893257619606629E-5</v>
      </c>
    </row>
    <row r="58" spans="1:18">
      <c r="A58" s="3" t="s">
        <v>70</v>
      </c>
      <c r="B58" s="11">
        <v>7.1699204854667187E-3</v>
      </c>
      <c r="C58" s="11">
        <f>'Opioid Mortality - WONDER'!H56/100000</f>
        <v>3.0661400000000003E-4</v>
      </c>
      <c r="D58" s="11">
        <f t="shared" si="0"/>
        <v>6.8633064854667185E-3</v>
      </c>
      <c r="E58" s="11">
        <f t="shared" si="1"/>
        <v>6.8643613102901124E-3</v>
      </c>
      <c r="F58" s="34">
        <f t="shared" si="4"/>
        <v>91108.463858075673</v>
      </c>
      <c r="G58" s="34">
        <f t="shared" si="6"/>
        <v>625.40141434733971</v>
      </c>
      <c r="H58" s="13">
        <v>90010.375</v>
      </c>
      <c r="I58" s="13">
        <v>645.36724853515625</v>
      </c>
      <c r="J58" s="13">
        <v>89687.6875</v>
      </c>
      <c r="K58" s="13"/>
      <c r="L58" s="13">
        <f t="shared" si="5"/>
        <v>90795.763150901999</v>
      </c>
      <c r="M58" s="13">
        <v>2380974.25</v>
      </c>
      <c r="N58" s="13">
        <f>SUM(L58:L$89)</f>
        <v>2415758.4683496696</v>
      </c>
      <c r="O58" s="30">
        <v>26.452220916748047</v>
      </c>
      <c r="P58" s="36">
        <f t="shared" si="2"/>
        <v>26.515192618249174</v>
      </c>
      <c r="Q58" s="43">
        <f t="shared" si="3"/>
        <v>23.000413973286502</v>
      </c>
      <c r="R58" s="23">
        <f>Q58-'Cohort Method'!P58</f>
        <v>5.4254053278413039E-5</v>
      </c>
    </row>
    <row r="59" spans="1:18">
      <c r="A59" s="3" t="s">
        <v>71</v>
      </c>
      <c r="B59" s="11">
        <v>7.8031821176409721E-3</v>
      </c>
      <c r="C59" s="11">
        <f>'Opioid Mortality - WONDER'!H57/100000</f>
        <v>2.9102499999999999E-4</v>
      </c>
      <c r="D59" s="11">
        <f t="shared" si="0"/>
        <v>7.5121571176409718E-3</v>
      </c>
      <c r="E59" s="11">
        <f t="shared" si="1"/>
        <v>7.513253191474667E-3</v>
      </c>
      <c r="F59" s="34">
        <f t="shared" si="4"/>
        <v>90483.062443728326</v>
      </c>
      <c r="G59" s="34">
        <f t="shared" si="6"/>
        <v>679.82215767974344</v>
      </c>
      <c r="H59" s="13">
        <v>89365.0078125</v>
      </c>
      <c r="I59" s="13">
        <v>697.3314208984375</v>
      </c>
      <c r="J59" s="13">
        <v>89016.34375</v>
      </c>
      <c r="K59" s="13"/>
      <c r="L59" s="13">
        <f t="shared" si="5"/>
        <v>90143.151364888457</v>
      </c>
      <c r="M59" s="13">
        <v>2291286.5</v>
      </c>
      <c r="N59" s="13">
        <f>SUM(L59:L$89)</f>
        <v>2324962.7051987681</v>
      </c>
      <c r="O59" s="30">
        <v>25.639638900756836</v>
      </c>
      <c r="P59" s="36">
        <f t="shared" si="2"/>
        <v>25.695004594309228</v>
      </c>
      <c r="Q59" s="43">
        <f t="shared" si="3"/>
        <v>20.222319570011365</v>
      </c>
      <c r="R59" s="23">
        <f>Q59-'Cohort Method'!P59</f>
        <v>3.9348641713843335E-5</v>
      </c>
    </row>
    <row r="60" spans="1:18">
      <c r="A60" s="3" t="s">
        <v>72</v>
      </c>
      <c r="B60" s="11">
        <v>8.4446631371974945E-3</v>
      </c>
      <c r="C60" s="11">
        <f>'Opioid Mortality - WONDER'!H58/100000</f>
        <v>2.6850400000000003E-4</v>
      </c>
      <c r="D60" s="11">
        <f t="shared" si="0"/>
        <v>8.1761591371974952E-3</v>
      </c>
      <c r="E60" s="11">
        <f t="shared" si="1"/>
        <v>8.1772600047076427E-3</v>
      </c>
      <c r="F60" s="34">
        <f t="shared" si="4"/>
        <v>89803.240286048589</v>
      </c>
      <c r="G60" s="34">
        <f t="shared" si="6"/>
        <v>734.3444450842552</v>
      </c>
      <c r="H60" s="13">
        <v>88667.6796875</v>
      </c>
      <c r="I60" s="13">
        <v>748.7686767578125</v>
      </c>
      <c r="J60" s="13">
        <v>88293.296875</v>
      </c>
      <c r="K60" s="13"/>
      <c r="L60" s="13">
        <f t="shared" si="5"/>
        <v>89436.068063506464</v>
      </c>
      <c r="M60" s="13">
        <v>2202270</v>
      </c>
      <c r="N60" s="13">
        <f>SUM(L60:L$89)</f>
        <v>2234819.55383388</v>
      </c>
      <c r="O60" s="30">
        <v>24.837347030639648</v>
      </c>
      <c r="P60" s="36">
        <f t="shared" si="2"/>
        <v>24.885734041615322</v>
      </c>
      <c r="Q60" s="43">
        <f t="shared" si="3"/>
        <v>17.673355758864805</v>
      </c>
      <c r="R60" s="23">
        <f>Q60-'Cohort Method'!P60</f>
        <v>3.9646517564051464E-5</v>
      </c>
    </row>
    <row r="61" spans="1:18">
      <c r="A61" s="3" t="s">
        <v>73</v>
      </c>
      <c r="B61" s="11">
        <v>9.1161839663982391E-3</v>
      </c>
      <c r="C61" s="11">
        <f>'Opioid Mortality - WONDER'!H59/100000</f>
        <v>2.7485699999999999E-4</v>
      </c>
      <c r="D61" s="11">
        <f t="shared" si="0"/>
        <v>8.8413269663982393E-3</v>
      </c>
      <c r="E61" s="11">
        <f t="shared" si="1"/>
        <v>8.8425458379263189E-3</v>
      </c>
      <c r="F61" s="34">
        <f t="shared" si="4"/>
        <v>89068.895840964338</v>
      </c>
      <c r="G61" s="34">
        <f t="shared" si="6"/>
        <v>787.59579420721207</v>
      </c>
      <c r="H61" s="13">
        <v>87918.9140625</v>
      </c>
      <c r="I61" s="13">
        <v>801.4849853515625</v>
      </c>
      <c r="J61" s="13">
        <v>87518.171875</v>
      </c>
      <c r="K61" s="13"/>
      <c r="L61" s="13">
        <f t="shared" si="5"/>
        <v>88675.097943860732</v>
      </c>
      <c r="M61" s="13">
        <v>2113976.75</v>
      </c>
      <c r="N61" s="13">
        <f>SUM(L61:L$89)</f>
        <v>2145383.4857703731</v>
      </c>
      <c r="O61" s="30">
        <v>24.044618606567383</v>
      </c>
      <c r="P61" s="36">
        <f t="shared" si="2"/>
        <v>24.086786588227515</v>
      </c>
      <c r="Q61" s="43">
        <f t="shared" si="3"/>
        <v>15.401855301363181</v>
      </c>
      <c r="R61" s="23">
        <f>Q61-'Cohort Method'!P61</f>
        <v>3.9973390226322181E-5</v>
      </c>
    </row>
    <row r="62" spans="1:18">
      <c r="A62" s="3" t="s">
        <v>74</v>
      </c>
      <c r="B62" s="11">
        <v>9.8380874842405319E-3</v>
      </c>
      <c r="C62" s="11">
        <f>'Opioid Mortality - WONDER'!H60/100000</f>
        <v>2.6200799999999999E-4</v>
      </c>
      <c r="D62" s="11">
        <f t="shared" si="0"/>
        <v>9.5760794842405326E-3</v>
      </c>
      <c r="E62" s="11">
        <f t="shared" si="1"/>
        <v>9.5773382336750146E-3</v>
      </c>
      <c r="F62" s="34">
        <f t="shared" si="4"/>
        <v>88281.300046757126</v>
      </c>
      <c r="G62" s="34">
        <f t="shared" si="6"/>
        <v>845.49987025634289</v>
      </c>
      <c r="H62" s="13">
        <v>87117.4296875</v>
      </c>
      <c r="I62" s="13">
        <v>857.06890869140625</v>
      </c>
      <c r="J62" s="13">
        <v>86688.890625</v>
      </c>
      <c r="K62" s="13"/>
      <c r="L62" s="13">
        <f t="shared" si="5"/>
        <v>87858.550111628952</v>
      </c>
      <c r="M62" s="13">
        <v>2026458.625</v>
      </c>
      <c r="N62" s="13">
        <f>SUM(L62:L$89)</f>
        <v>2056708.3878265126</v>
      </c>
      <c r="O62" s="30">
        <v>23.26123046875</v>
      </c>
      <c r="P62" s="36">
        <f t="shared" si="2"/>
        <v>23.297214548689269</v>
      </c>
      <c r="Q62" s="43">
        <f t="shared" si="3"/>
        <v>13.143185197817839</v>
      </c>
      <c r="R62" s="23">
        <f>Q62-'Cohort Method'!P62</f>
        <v>4.0330009728251071E-5</v>
      </c>
    </row>
    <row r="63" spans="1:18">
      <c r="A63" s="3" t="s">
        <v>75</v>
      </c>
      <c r="B63" s="11">
        <v>1.0619322769343853E-2</v>
      </c>
      <c r="C63" s="11">
        <f>'Opioid Mortality - WONDER'!H61/100000</f>
        <v>2.2387000000000001E-4</v>
      </c>
      <c r="D63" s="11">
        <f t="shared" si="0"/>
        <v>1.0395452769343854E-2</v>
      </c>
      <c r="E63" s="11">
        <f t="shared" si="1"/>
        <v>1.039662061282931E-2</v>
      </c>
      <c r="F63" s="34">
        <f t="shared" si="4"/>
        <v>87435.800176500779</v>
      </c>
      <c r="G63" s="34">
        <f t="shared" si="6"/>
        <v>909.03684241423264</v>
      </c>
      <c r="H63" s="13">
        <v>86260.359375</v>
      </c>
      <c r="I63" s="13">
        <v>916.026611328125</v>
      </c>
      <c r="J63" s="13">
        <v>85802.34375</v>
      </c>
      <c r="K63" s="13"/>
      <c r="L63" s="13">
        <f t="shared" si="5"/>
        <v>86981.281755293661</v>
      </c>
      <c r="M63" s="13">
        <v>1939769.75</v>
      </c>
      <c r="N63" s="13">
        <f>SUM(L63:L$89)</f>
        <v>1968849.8377148837</v>
      </c>
      <c r="O63" s="30">
        <v>22.487382888793945</v>
      </c>
      <c r="P63" s="36">
        <f t="shared" si="2"/>
        <v>22.517662487682376</v>
      </c>
      <c r="Q63" s="43">
        <f t="shared" si="3"/>
        <v>11.059623493999265</v>
      </c>
      <c r="R63" s="23">
        <f>Q63-'Cohort Method'!P63</f>
        <v>2.46225118196719E-5</v>
      </c>
    </row>
    <row r="64" spans="1:18">
      <c r="A64" s="3" t="s">
        <v>76</v>
      </c>
      <c r="B64" s="11">
        <v>1.146990992128849E-2</v>
      </c>
      <c r="C64" s="11">
        <f>'Opioid Mortality - WONDER'!H62/100000</f>
        <v>2.1051300000000001E-4</v>
      </c>
      <c r="D64" s="11">
        <f t="shared" si="0"/>
        <v>1.125939692128849E-2</v>
      </c>
      <c r="E64" s="11">
        <f t="shared" si="1"/>
        <v>1.1260586687144913E-2</v>
      </c>
      <c r="F64" s="34">
        <f t="shared" si="4"/>
        <v>86526.763334086543</v>
      </c>
      <c r="G64" s="34">
        <f t="shared" si="6"/>
        <v>974.34211928155355</v>
      </c>
      <c r="H64" s="13">
        <v>85344.3359375</v>
      </c>
      <c r="I64" s="13">
        <v>978.891845703125</v>
      </c>
      <c r="J64" s="13">
        <v>84854.890625</v>
      </c>
      <c r="K64" s="13"/>
      <c r="L64" s="13">
        <f t="shared" si="5"/>
        <v>86039.592274445764</v>
      </c>
      <c r="M64" s="13">
        <v>1853967.375</v>
      </c>
      <c r="N64" s="13">
        <f>SUM(L64:L$89)</f>
        <v>1881868.5559595902</v>
      </c>
      <c r="O64" s="30">
        <v>21.723379135131836</v>
      </c>
      <c r="P64" s="36">
        <f t="shared" si="2"/>
        <v>21.748976657008999</v>
      </c>
      <c r="Q64" s="43">
        <f t="shared" si="3"/>
        <v>9.349494865633833</v>
      </c>
      <c r="R64" s="23">
        <f>Q64-'Cohort Method'!P64</f>
        <v>8.5177500857014365E-6</v>
      </c>
    </row>
    <row r="65" spans="1:18">
      <c r="A65" s="3" t="s">
        <v>77</v>
      </c>
      <c r="B65" s="11">
        <v>1.2361294589936733E-2</v>
      </c>
      <c r="C65" s="11">
        <f>'Opioid Mortality - WONDER'!H63/100000</f>
        <v>1.8286000000000002E-4</v>
      </c>
      <c r="D65" s="11">
        <f t="shared" si="0"/>
        <v>1.2178434589936733E-2</v>
      </c>
      <c r="E65" s="11">
        <f t="shared" si="1"/>
        <v>1.2179552749282729E-2</v>
      </c>
      <c r="F65" s="34">
        <f t="shared" si="4"/>
        <v>85552.421214804985</v>
      </c>
      <c r="G65" s="34">
        <f t="shared" si="6"/>
        <v>1041.9902270145722</v>
      </c>
      <c r="H65" s="13">
        <v>84365.4453125</v>
      </c>
      <c r="I65" s="13">
        <v>1042.8660888671875</v>
      </c>
      <c r="J65" s="13">
        <v>83844.015625</v>
      </c>
      <c r="K65" s="13"/>
      <c r="L65" s="13">
        <f t="shared" si="5"/>
        <v>85031.426101297708</v>
      </c>
      <c r="M65" s="13">
        <v>1769112.5</v>
      </c>
      <c r="N65" s="13">
        <f>SUM(L65:L$89)</f>
        <v>1795828.9636851442</v>
      </c>
      <c r="O65" s="30">
        <v>20.969633102416992</v>
      </c>
      <c r="P65" s="36">
        <f t="shared" si="2"/>
        <v>20.990977674099693</v>
      </c>
      <c r="Q65" s="43">
        <f t="shared" si="3"/>
        <v>7.7961048071062917</v>
      </c>
      <c r="R65" s="23">
        <f>Q65-'Cohort Method'!P65</f>
        <v>8.6147556155324878E-6</v>
      </c>
    </row>
    <row r="66" spans="1:18">
      <c r="A66" s="3" t="s">
        <v>78</v>
      </c>
      <c r="B66" s="11">
        <v>1.3260341249406338E-2</v>
      </c>
      <c r="C66" s="11">
        <f>'Opioid Mortality - WONDER'!H64/100000</f>
        <v>1.6709800000000002E-4</v>
      </c>
      <c r="D66" s="11">
        <f t="shared" si="0"/>
        <v>1.3093243249406339E-2</v>
      </c>
      <c r="E66" s="11">
        <f t="shared" si="1"/>
        <v>1.3094342105931633E-2</v>
      </c>
      <c r="F66" s="34">
        <f t="shared" si="4"/>
        <v>84510.430987790416</v>
      </c>
      <c r="G66" s="34">
        <f t="shared" si="6"/>
        <v>1106.6084948738535</v>
      </c>
      <c r="H66" s="13">
        <v>83322.578125</v>
      </c>
      <c r="I66" s="13">
        <v>1104.8858642578125</v>
      </c>
      <c r="J66" s="13">
        <v>82770.140625</v>
      </c>
      <c r="K66" s="13"/>
      <c r="L66" s="13">
        <f t="shared" si="5"/>
        <v>83957.126740353488</v>
      </c>
      <c r="M66" s="13">
        <v>1685268.5</v>
      </c>
      <c r="N66" s="13">
        <f>SUM(L66:L$89)</f>
        <v>1710797.5375838464</v>
      </c>
      <c r="O66" s="30">
        <v>20.225831985473633</v>
      </c>
      <c r="P66" s="36">
        <f t="shared" si="2"/>
        <v>20.243625758233474</v>
      </c>
      <c r="Q66" s="43">
        <f t="shared" si="3"/>
        <v>6.4991755005319893</v>
      </c>
      <c r="R66" s="23">
        <f>Q66-'Cohort Method'!P66</f>
        <v>2.558939959929063E-5</v>
      </c>
    </row>
    <row r="67" spans="1:18">
      <c r="A67" s="3" t="s">
        <v>79</v>
      </c>
      <c r="B67" s="11">
        <v>1.4139737002551556E-2</v>
      </c>
      <c r="C67" s="11">
        <f>'Opioid Mortality - WONDER'!H65/100000</f>
        <v>1.5186799999999999E-4</v>
      </c>
      <c r="D67" s="11">
        <f t="shared" si="0"/>
        <v>1.3987869002551556E-2</v>
      </c>
      <c r="E67" s="11">
        <f t="shared" si="1"/>
        <v>1.398893625363673E-2</v>
      </c>
      <c r="F67" s="34">
        <f t="shared" si="4"/>
        <v>83403.822492916559</v>
      </c>
      <c r="G67" s="34">
        <f t="shared" si="6"/>
        <v>1166.730756163043</v>
      </c>
      <c r="H67" s="13">
        <v>82217.6953125</v>
      </c>
      <c r="I67" s="13">
        <v>1162.53662109375</v>
      </c>
      <c r="J67" s="13">
        <v>81636.421875</v>
      </c>
      <c r="K67" s="13"/>
      <c r="L67" s="13">
        <f t="shared" si="5"/>
        <v>82820.457114835037</v>
      </c>
      <c r="M67" s="13">
        <v>1602498.375</v>
      </c>
      <c r="N67" s="13">
        <f>SUM(L67:L$89)</f>
        <v>1626840.410843493</v>
      </c>
      <c r="O67" s="30">
        <v>19.49091911315918</v>
      </c>
      <c r="P67" s="36">
        <f t="shared" si="2"/>
        <v>19.505585741968357</v>
      </c>
      <c r="Q67" s="43">
        <f t="shared" si="3"/>
        <v>5.3569861725519869</v>
      </c>
      <c r="R67" s="23">
        <f>Q67-'Cohort Method'!P67</f>
        <v>4.3062262920834371E-5</v>
      </c>
    </row>
    <row r="68" spans="1:18">
      <c r="A68" s="3" t="s">
        <v>80</v>
      </c>
      <c r="B68" s="11">
        <v>1.5018866397440434E-2</v>
      </c>
      <c r="C68" s="11">
        <f>'Opioid Mortality - WONDER'!H66/100000</f>
        <v>1.4115899999999999E-4</v>
      </c>
      <c r="D68" s="11">
        <f t="shared" si="0"/>
        <v>1.4877707397440433E-2</v>
      </c>
      <c r="E68" s="11">
        <f t="shared" si="1"/>
        <v>1.4878762805307866E-2</v>
      </c>
      <c r="F68" s="34">
        <f t="shared" si="4"/>
        <v>82237.091736753515</v>
      </c>
      <c r="G68" s="34">
        <f t="shared" si="6"/>
        <v>1223.586181749499</v>
      </c>
      <c r="H68" s="13">
        <v>81055.15625</v>
      </c>
      <c r="I68" s="13">
        <v>1217.3565673828125</v>
      </c>
      <c r="J68" s="13">
        <v>80446.4765625</v>
      </c>
      <c r="K68" s="13"/>
      <c r="L68" s="13">
        <f t="shared" si="5"/>
        <v>81625.298645878764</v>
      </c>
      <c r="M68" s="13">
        <v>1520861.875</v>
      </c>
      <c r="N68" s="13">
        <f>SUM(L68:L$89)</f>
        <v>1544019.9537286579</v>
      </c>
      <c r="O68" s="30">
        <v>18.763296127319336</v>
      </c>
      <c r="P68" s="36">
        <f t="shared" si="2"/>
        <v>18.775225644787756</v>
      </c>
      <c r="Q68" s="43">
        <f t="shared" si="3"/>
        <v>4.3572562553405563</v>
      </c>
      <c r="R68" s="23">
        <f>Q68-'Cohort Method'!P68</f>
        <v>2.6261327296772663E-5</v>
      </c>
    </row>
    <row r="69" spans="1:18">
      <c r="A69" s="3" t="s">
        <v>81</v>
      </c>
      <c r="B69" s="11">
        <v>1.594170555472374E-2</v>
      </c>
      <c r="C69" s="11">
        <f>'Opioid Mortality - WONDER'!H67/100000</f>
        <v>1.1427E-4</v>
      </c>
      <c r="D69" s="11">
        <f t="shared" ref="D69:D89" si="7">B69-C69</f>
        <v>1.582743555472374E-2</v>
      </c>
      <c r="E69" s="11">
        <f t="shared" ref="E69:E89" si="8">1-(1-B69)^(D69/B69)</f>
        <v>1.5828344734154065E-2</v>
      </c>
      <c r="F69" s="34">
        <f t="shared" si="4"/>
        <v>81013.505555004012</v>
      </c>
      <c r="G69" s="34">
        <f t="shared" ref="G69:G89" si="9">F69*E69</f>
        <v>1282.3096940469088</v>
      </c>
      <c r="H69" s="13">
        <v>79837.796875</v>
      </c>
      <c r="I69" s="13">
        <v>1272.7506103515625</v>
      </c>
      <c r="J69" s="13">
        <v>79201.421875</v>
      </c>
      <c r="K69" s="13"/>
      <c r="L69" s="13">
        <f t="shared" si="5"/>
        <v>80372.350707980557</v>
      </c>
      <c r="M69" s="13">
        <v>1440415.5</v>
      </c>
      <c r="N69" s="13">
        <f>SUM(L69:L$89)</f>
        <v>1462394.6550827792</v>
      </c>
      <c r="O69" s="30">
        <v>18.041774749755859</v>
      </c>
      <c r="P69" s="36">
        <f t="shared" ref="P69:P89" si="10">N69/F69</f>
        <v>18.051245222191852</v>
      </c>
      <c r="Q69" s="43">
        <f t="shared" ref="Q69:Q89" si="11">(P69-O69)*365.25</f>
        <v>3.4590900572463923</v>
      </c>
      <c r="R69" s="23">
        <f>Q69-'Cohort Method'!P69</f>
        <v>2.665796307166346E-5</v>
      </c>
    </row>
    <row r="70" spans="1:18">
      <c r="A70" s="3" t="s">
        <v>82</v>
      </c>
      <c r="B70" s="11">
        <v>1.7026431858539581E-2</v>
      </c>
      <c r="C70" s="11">
        <f>'Opioid Mortality - WONDER'!H68/100000</f>
        <v>1.0455000000000001E-4</v>
      </c>
      <c r="D70" s="11">
        <f t="shared" si="7"/>
        <v>1.6921881858539583E-2</v>
      </c>
      <c r="E70" s="11">
        <f t="shared" si="8"/>
        <v>1.6922771544801485E-2</v>
      </c>
      <c r="F70" s="34">
        <f t="shared" ref="F70:F89" si="12">F69*(1-E69)</f>
        <v>79731.195860957101</v>
      </c>
      <c r="G70" s="34">
        <f t="shared" si="9"/>
        <v>1349.2728125487988</v>
      </c>
      <c r="H70" s="13">
        <v>78565.046875</v>
      </c>
      <c r="I70" s="13">
        <v>1337.682373046875</v>
      </c>
      <c r="J70" s="13">
        <v>77896.203125</v>
      </c>
      <c r="K70" s="13"/>
      <c r="L70" s="13">
        <f t="shared" ref="L70:L88" si="13">1*(F70-G70)+0.5*1*G70</f>
        <v>79056.559454682705</v>
      </c>
      <c r="M70" s="13">
        <v>1361214</v>
      </c>
      <c r="N70" s="13">
        <f>SUM(L70:L$89)</f>
        <v>1382022.3043747989</v>
      </c>
      <c r="O70" s="30">
        <v>17.325948715209961</v>
      </c>
      <c r="P70" s="36">
        <f t="shared" si="10"/>
        <v>17.333520329795402</v>
      </c>
      <c r="Q70" s="43">
        <f t="shared" si="11"/>
        <v>2.765532227332236</v>
      </c>
      <c r="R70" s="23">
        <f>Q70-'Cohort Method'!P70</f>
        <v>2.7086702179879296E-5</v>
      </c>
    </row>
    <row r="71" spans="1:18">
      <c r="A71" s="3" t="s">
        <v>83</v>
      </c>
      <c r="B71" s="11">
        <v>1.8188728019595146E-2</v>
      </c>
      <c r="C71" s="11">
        <f>'Opioid Mortality - WONDER'!H69/100000</f>
        <v>8.2089999999999995E-5</v>
      </c>
      <c r="D71" s="11">
        <f t="shared" si="7"/>
        <v>1.8106638019595146E-2</v>
      </c>
      <c r="E71" s="11">
        <f t="shared" si="8"/>
        <v>1.8107385774476237E-2</v>
      </c>
      <c r="F71" s="34">
        <f t="shared" si="12"/>
        <v>78381.923048408309</v>
      </c>
      <c r="G71" s="34">
        <f t="shared" si="9"/>
        <v>1419.2917183828397</v>
      </c>
      <c r="H71" s="13">
        <v>77227.3671875</v>
      </c>
      <c r="I71" s="13">
        <v>1404.6676025390625</v>
      </c>
      <c r="J71" s="13">
        <v>76525.03125</v>
      </c>
      <c r="K71" s="13"/>
      <c r="L71" s="13">
        <f t="shared" si="13"/>
        <v>77672.277189216897</v>
      </c>
      <c r="M71" s="13">
        <v>1283317.875</v>
      </c>
      <c r="N71" s="13">
        <f>SUM(L71:L$89)</f>
        <v>1302965.7449201162</v>
      </c>
      <c r="O71" s="30">
        <v>16.617397308349609</v>
      </c>
      <c r="P71" s="36">
        <f t="shared" si="10"/>
        <v>16.623293920913508</v>
      </c>
      <c r="Q71" s="43">
        <f t="shared" si="11"/>
        <v>2.1537377389638079</v>
      </c>
      <c r="R71" s="23">
        <f>Q71-'Cohort Method'!P71</f>
        <v>9.192580579409082E-6</v>
      </c>
    </row>
    <row r="72" spans="1:18">
      <c r="A72" s="3" t="s">
        <v>84</v>
      </c>
      <c r="B72" s="11">
        <v>1.9483163952827454E-2</v>
      </c>
      <c r="C72" s="11">
        <f>'Opioid Mortality - WONDER'!H70/100000</f>
        <v>7.3330999999999993E-5</v>
      </c>
      <c r="D72" s="11">
        <f t="shared" si="7"/>
        <v>1.9409832952827454E-2</v>
      </c>
      <c r="E72" s="11">
        <f t="shared" si="8"/>
        <v>1.9410549309138325E-2</v>
      </c>
      <c r="F72" s="34">
        <f t="shared" si="12"/>
        <v>76962.63133002547</v>
      </c>
      <c r="G72" s="34">
        <f t="shared" si="9"/>
        <v>1493.8869503924934</v>
      </c>
      <c r="H72" s="13">
        <v>75822.703125</v>
      </c>
      <c r="I72" s="13">
        <v>1477.26611328125</v>
      </c>
      <c r="J72" s="13">
        <v>75084.0703125</v>
      </c>
      <c r="K72" s="13"/>
      <c r="L72" s="13">
        <f t="shared" si="13"/>
        <v>76215.687854829215</v>
      </c>
      <c r="M72" s="13">
        <v>1206792.75</v>
      </c>
      <c r="N72" s="13">
        <f>SUM(L72:L$89)</f>
        <v>1225293.4677308991</v>
      </c>
      <c r="O72" s="30">
        <v>15.915981292724609</v>
      </c>
      <c r="P72" s="36">
        <f t="shared" si="10"/>
        <v>15.920628577220628</v>
      </c>
      <c r="Q72" s="43">
        <f t="shared" si="11"/>
        <v>1.6974206621706274</v>
      </c>
      <c r="R72" s="23">
        <f>Q72-'Cohort Method'!P72</f>
        <v>-9.3692663480915428E-6</v>
      </c>
    </row>
    <row r="73" spans="1:18">
      <c r="A73" s="3" t="s">
        <v>85</v>
      </c>
      <c r="B73" s="11">
        <v>2.0990420132875443E-2</v>
      </c>
      <c r="C73" s="11">
        <f>'Opioid Mortality - WONDER'!H71/100000</f>
        <v>6.0509000000000006E-5</v>
      </c>
      <c r="D73" s="11">
        <f t="shared" si="7"/>
        <v>2.0929911132875442E-2</v>
      </c>
      <c r="E73" s="11">
        <f t="shared" si="8"/>
        <v>2.0930548847487462E-2</v>
      </c>
      <c r="F73" s="34">
        <f t="shared" si="12"/>
        <v>75468.744379632975</v>
      </c>
      <c r="G73" s="34">
        <f t="shared" si="9"/>
        <v>1579.6022406964528</v>
      </c>
      <c r="H73" s="13">
        <v>74345.4375</v>
      </c>
      <c r="I73" s="13">
        <v>1560.5419921875</v>
      </c>
      <c r="J73" s="13">
        <v>73565.171875</v>
      </c>
      <c r="K73" s="13"/>
      <c r="L73" s="13">
        <f t="shared" si="13"/>
        <v>74678.943259284759</v>
      </c>
      <c r="M73" s="13">
        <v>1131708.75</v>
      </c>
      <c r="N73" s="13">
        <f>SUM(L73:L$89)</f>
        <v>1149077.7798760699</v>
      </c>
      <c r="O73" s="30">
        <v>15.222302436828613</v>
      </c>
      <c r="P73" s="36">
        <f t="shared" si="10"/>
        <v>15.225876478026786</v>
      </c>
      <c r="Q73" s="43">
        <f t="shared" si="11"/>
        <v>1.3054185476324673</v>
      </c>
      <c r="R73" s="23">
        <f>Q73-'Cohort Method'!P73</f>
        <v>-9.5547286282915422E-6</v>
      </c>
    </row>
    <row r="74" spans="1:18">
      <c r="A74" s="3" t="s">
        <v>86</v>
      </c>
      <c r="B74" s="11">
        <v>2.2447997704148293E-2</v>
      </c>
      <c r="C74" s="11">
        <f>'Opioid Mortality - WONDER'!H72/100000</f>
        <v>3.5926999999999997E-5</v>
      </c>
      <c r="D74" s="11">
        <f t="shared" si="7"/>
        <v>2.2412070704148291E-2</v>
      </c>
      <c r="E74" s="11">
        <f t="shared" si="8"/>
        <v>2.2412476355074706E-2</v>
      </c>
      <c r="F74" s="34">
        <f t="shared" si="12"/>
        <v>73889.142138936528</v>
      </c>
      <c r="G74" s="34">
        <f t="shared" si="9"/>
        <v>1656.038651085669</v>
      </c>
      <c r="H74" s="13">
        <v>72784.8984375</v>
      </c>
      <c r="I74" s="13">
        <v>1633.875244140625</v>
      </c>
      <c r="J74" s="13">
        <v>71967.9609375</v>
      </c>
      <c r="K74" s="13"/>
      <c r="L74" s="13">
        <f t="shared" si="13"/>
        <v>73061.122813393697</v>
      </c>
      <c r="M74" s="13">
        <v>1058143.5</v>
      </c>
      <c r="N74" s="13">
        <f>SUM(L74:L$89)</f>
        <v>1074398.8366167853</v>
      </c>
      <c r="O74" s="30">
        <v>14.537954330444336</v>
      </c>
      <c r="P74" s="36">
        <f t="shared" si="10"/>
        <v>14.540686297271565</v>
      </c>
      <c r="Q74" s="43">
        <f t="shared" si="11"/>
        <v>0.99785088364530461</v>
      </c>
      <c r="R74" s="23">
        <f>Q74-'Cohort Method'!P74</f>
        <v>9.7863280958954135E-6</v>
      </c>
    </row>
    <row r="75" spans="1:18">
      <c r="A75" s="3" t="s">
        <v>87</v>
      </c>
      <c r="B75" s="11">
        <v>2.4630911648273468E-2</v>
      </c>
      <c r="C75" s="11">
        <f>'Opioid Mortality - WONDER'!H73/100000</f>
        <v>3.4325999999999996E-5</v>
      </c>
      <c r="D75" s="11">
        <f t="shared" si="7"/>
        <v>2.4596585648273467E-2</v>
      </c>
      <c r="E75" s="11">
        <f t="shared" si="8"/>
        <v>2.4597011313710393E-2</v>
      </c>
      <c r="F75" s="34">
        <f t="shared" si="12"/>
        <v>72233.103487850865</v>
      </c>
      <c r="G75" s="34">
        <f t="shared" si="9"/>
        <v>1776.7184637150813</v>
      </c>
      <c r="H75" s="13">
        <v>71151.0234375</v>
      </c>
      <c r="I75" s="13">
        <v>1752.5145263671875</v>
      </c>
      <c r="J75" s="13">
        <v>70274.765625</v>
      </c>
      <c r="K75" s="13"/>
      <c r="L75" s="13">
        <f t="shared" si="13"/>
        <v>71344.744255993326</v>
      </c>
      <c r="M75" s="13">
        <v>986175.5625</v>
      </c>
      <c r="N75" s="13">
        <f>SUM(L75:L$89)</f>
        <v>1001337.7138033916</v>
      </c>
      <c r="O75" s="30">
        <v>13.86031436920166</v>
      </c>
      <c r="P75" s="36">
        <f t="shared" si="10"/>
        <v>13.862587448866986</v>
      </c>
      <c r="Q75" s="43">
        <f t="shared" si="11"/>
        <v>0.83024234776018968</v>
      </c>
      <c r="R75" s="23">
        <f>Q75-'Cohort Method'!P75</f>
        <v>1.0010691986028775E-5</v>
      </c>
    </row>
    <row r="76" spans="1:18">
      <c r="A76" s="3" t="s">
        <v>88</v>
      </c>
      <c r="B76" s="11">
        <v>2.6569554582238197E-2</v>
      </c>
      <c r="C76" s="11">
        <f>'Opioid Mortality - WONDER'!H74/100000</f>
        <v>3.7879999999999996E-5</v>
      </c>
      <c r="D76" s="11">
        <f t="shared" si="7"/>
        <v>2.6531674582238197E-2</v>
      </c>
      <c r="E76" s="11">
        <f t="shared" si="8"/>
        <v>2.6532181609200345E-2</v>
      </c>
      <c r="F76" s="34">
        <f t="shared" si="12"/>
        <v>70456.385024135787</v>
      </c>
      <c r="G76" s="34">
        <f t="shared" si="9"/>
        <v>1869.3616029881141</v>
      </c>
      <c r="H76" s="13">
        <v>69398.5078125</v>
      </c>
      <c r="I76" s="13">
        <v>1843.887451171875</v>
      </c>
      <c r="J76" s="13">
        <v>68476.5625</v>
      </c>
      <c r="K76" s="13"/>
      <c r="L76" s="13">
        <f t="shared" si="13"/>
        <v>69521.70422264174</v>
      </c>
      <c r="M76" s="13">
        <v>915900.8125</v>
      </c>
      <c r="N76" s="13">
        <f>SUM(L76:L$89)</f>
        <v>929992.96954739827</v>
      </c>
      <c r="O76" s="30">
        <v>13.197701454162598</v>
      </c>
      <c r="P76" s="36">
        <f t="shared" si="10"/>
        <v>13.199555572270938</v>
      </c>
      <c r="Q76" s="43">
        <f t="shared" si="11"/>
        <v>0.67721663907143537</v>
      </c>
      <c r="R76" s="23">
        <f>Q76-'Cohort Method'!P76</f>
        <v>1.0263133965349169E-5</v>
      </c>
    </row>
    <row r="77" spans="1:18">
      <c r="A77" s="3" t="s">
        <v>89</v>
      </c>
      <c r="B77" s="11">
        <v>2.9040491208434105E-2</v>
      </c>
      <c r="C77" s="11">
        <f>'Opioid Mortality - WONDER'!H75/100000</f>
        <v>2.3450000000000001E-5</v>
      </c>
      <c r="D77" s="11">
        <f t="shared" si="7"/>
        <v>2.9017041208434104E-2</v>
      </c>
      <c r="E77" s="11">
        <f t="shared" si="8"/>
        <v>2.9017384778063926E-2</v>
      </c>
      <c r="F77" s="34">
        <f t="shared" si="12"/>
        <v>68587.023421147678</v>
      </c>
      <c r="G77" s="34">
        <f t="shared" si="9"/>
        <v>1990.2160493935246</v>
      </c>
      <c r="H77" s="13">
        <v>67554.6171875</v>
      </c>
      <c r="I77" s="13">
        <v>1961.8192138671875</v>
      </c>
      <c r="J77" s="13">
        <v>66573.703125</v>
      </c>
      <c r="K77" s="13"/>
      <c r="L77" s="13">
        <f t="shared" si="13"/>
        <v>67591.915396450917</v>
      </c>
      <c r="M77" s="13">
        <v>847424.25</v>
      </c>
      <c r="N77" s="13">
        <f>SUM(L77:L$89)</f>
        <v>860471.26532475639</v>
      </c>
      <c r="O77" s="30">
        <v>12.544282913208008</v>
      </c>
      <c r="P77" s="36">
        <f t="shared" si="10"/>
        <v>12.545686084686455</v>
      </c>
      <c r="Q77" s="43">
        <f t="shared" si="11"/>
        <v>0.51250838250286268</v>
      </c>
      <c r="R77" s="23">
        <f>Q77-'Cohort Method'!P77</f>
        <v>1.0542859236295499E-5</v>
      </c>
    </row>
    <row r="78" spans="1:18">
      <c r="A78" s="3" t="s">
        <v>90</v>
      </c>
      <c r="B78" s="11">
        <v>3.153933584690094E-2</v>
      </c>
      <c r="C78" s="11">
        <f>'Opioid Mortality - WONDER'!H76/100000</f>
        <v>1.2064606897985397E-5</v>
      </c>
      <c r="D78" s="11">
        <f t="shared" si="7"/>
        <v>3.1527271240002958E-2</v>
      </c>
      <c r="E78" s="11">
        <f t="shared" si="8"/>
        <v>3.1527463454398164E-2</v>
      </c>
      <c r="F78" s="34">
        <f t="shared" si="12"/>
        <v>66596.807371754156</v>
      </c>
      <c r="G78" s="34">
        <f t="shared" si="9"/>
        <v>2099.6284105925733</v>
      </c>
      <c r="H78" s="13">
        <v>65592.796875</v>
      </c>
      <c r="I78" s="13">
        <v>2068.753173828125</v>
      </c>
      <c r="J78" s="13">
        <v>64558.421875</v>
      </c>
      <c r="K78" s="13"/>
      <c r="L78" s="13">
        <f t="shared" si="13"/>
        <v>65546.993166457862</v>
      </c>
      <c r="M78" s="13">
        <v>780850.5625</v>
      </c>
      <c r="N78" s="13">
        <f>SUM(L78:L$89)</f>
        <v>792879.34992830548</v>
      </c>
      <c r="O78" s="30">
        <v>11.90451717376709</v>
      </c>
      <c r="P78" s="36">
        <f t="shared" si="10"/>
        <v>11.905666070481796</v>
      </c>
      <c r="Q78" s="43">
        <f t="shared" si="11"/>
        <v>0.41963452504659937</v>
      </c>
      <c r="R78" s="23">
        <f>Q78-'Cohort Method'!P78</f>
        <v>-1.0875981278246627E-5</v>
      </c>
    </row>
    <row r="79" spans="1:18">
      <c r="A79" s="3" t="s">
        <v>91</v>
      </c>
      <c r="B79" s="11">
        <v>3.4644465893507004E-2</v>
      </c>
      <c r="C79" s="11">
        <f>'Opioid Mortality - WONDER'!H77/100000</f>
        <v>1.9481742360451196E-5</v>
      </c>
      <c r="D79" s="11">
        <f t="shared" si="7"/>
        <v>3.4624984151146551E-2</v>
      </c>
      <c r="E79" s="11">
        <f t="shared" si="8"/>
        <v>3.4625325394743167E-2</v>
      </c>
      <c r="F79" s="34">
        <f t="shared" si="12"/>
        <v>64497.178961161582</v>
      </c>
      <c r="G79" s="34">
        <f t="shared" si="9"/>
        <v>2233.235808573203</v>
      </c>
      <c r="H79" s="13">
        <v>63524.04296875</v>
      </c>
      <c r="I79" s="13">
        <v>2200.756591796875</v>
      </c>
      <c r="J79" s="13">
        <v>62423.6640625</v>
      </c>
      <c r="K79" s="13"/>
      <c r="L79" s="13">
        <f t="shared" si="13"/>
        <v>63380.561056874976</v>
      </c>
      <c r="M79" s="13">
        <v>716292.125</v>
      </c>
      <c r="N79" s="13">
        <f>SUM(L79:L$89)</f>
        <v>727332.35676184762</v>
      </c>
      <c r="O79" s="30">
        <v>11.275921821594238</v>
      </c>
      <c r="P79" s="36">
        <f t="shared" si="10"/>
        <v>11.27696386844806</v>
      </c>
      <c r="Q79" s="43">
        <f t="shared" si="11"/>
        <v>0.38060761335853766</v>
      </c>
      <c r="R79" s="23">
        <f>Q79-'Cohort Method'!P79</f>
        <v>-4.3438119767813532E-9</v>
      </c>
    </row>
    <row r="80" spans="1:18">
      <c r="A80" s="3" t="s">
        <v>92</v>
      </c>
      <c r="B80" s="11">
        <v>3.8148298859596252E-2</v>
      </c>
      <c r="C80" s="11">
        <f>'Opioid Mortality - WONDER'!H78/100000</f>
        <v>1.6919819393013566E-5</v>
      </c>
      <c r="D80" s="11">
        <f t="shared" si="7"/>
        <v>3.8131379040203237E-2</v>
      </c>
      <c r="E80" s="11">
        <f t="shared" si="8"/>
        <v>3.8131705812242012E-2</v>
      </c>
      <c r="F80" s="34">
        <f t="shared" si="12"/>
        <v>62263.943152588377</v>
      </c>
      <c r="G80" s="34">
        <f t="shared" si="9"/>
        <v>2374.2303630046604</v>
      </c>
      <c r="H80" s="13">
        <v>61323.28515625</v>
      </c>
      <c r="I80" s="13">
        <v>2339.37890625</v>
      </c>
      <c r="J80" s="13">
        <v>60153.59375</v>
      </c>
      <c r="K80" s="13"/>
      <c r="L80" s="13">
        <f t="shared" si="13"/>
        <v>61076.827971086052</v>
      </c>
      <c r="M80" s="13">
        <v>653868.5</v>
      </c>
      <c r="N80" s="13">
        <f>SUM(L80:L$89)</f>
        <v>663951.7957049727</v>
      </c>
      <c r="O80" s="30">
        <v>10.662646293640137</v>
      </c>
      <c r="P80" s="36">
        <f t="shared" si="10"/>
        <v>10.663503820788316</v>
      </c>
      <c r="Q80" s="43">
        <f t="shared" si="11"/>
        <v>0.31321179087245854</v>
      </c>
      <c r="R80" s="23">
        <f>Q80-'Cohort Method'!P80</f>
        <v>-4.4982297886519973E-9</v>
      </c>
    </row>
    <row r="81" spans="1:18">
      <c r="A81" s="3" t="s">
        <v>93</v>
      </c>
      <c r="B81" s="11">
        <v>4.2249701917171478E-2</v>
      </c>
      <c r="C81" s="11">
        <f>'Opioid Mortality - WONDER'!H79/100000</f>
        <v>1.5592272469763985E-5</v>
      </c>
      <c r="D81" s="11">
        <f t="shared" si="7"/>
        <v>4.2234109644701714E-2</v>
      </c>
      <c r="E81" s="11">
        <f t="shared" si="8"/>
        <v>4.2234443646940734E-2</v>
      </c>
      <c r="F81" s="34">
        <f t="shared" si="12"/>
        <v>59889.712789583718</v>
      </c>
      <c r="G81" s="34">
        <f t="shared" si="9"/>
        <v>2529.4086998431394</v>
      </c>
      <c r="H81" s="13">
        <v>58983.90625</v>
      </c>
      <c r="I81" s="13">
        <v>2492.052490234375</v>
      </c>
      <c r="J81" s="13">
        <v>57737.8828125</v>
      </c>
      <c r="K81" s="13"/>
      <c r="L81" s="13">
        <f t="shared" si="13"/>
        <v>58625.008439662153</v>
      </c>
      <c r="M81" s="13">
        <v>593714.875</v>
      </c>
      <c r="N81" s="13">
        <f>SUM(L81:L$89)</f>
        <v>602874.96773388656</v>
      </c>
      <c r="O81" s="30">
        <v>10.065710067749023</v>
      </c>
      <c r="P81" s="36">
        <f t="shared" si="10"/>
        <v>10.066419417505392</v>
      </c>
      <c r="Q81" s="43">
        <f t="shared" si="11"/>
        <v>0.25908999851355174</v>
      </c>
      <c r="R81" s="23">
        <f>Q81-'Cohort Method'!P81</f>
        <v>-1.209367537446937E-5</v>
      </c>
    </row>
    <row r="82" spans="1:18">
      <c r="A82" s="3" t="s">
        <v>94</v>
      </c>
      <c r="B82" s="11">
        <v>4.6521790325641632E-2</v>
      </c>
      <c r="C82" s="11">
        <f>'Opioid Mortality - WONDER'!H80/100000</f>
        <v>1.5426579997335408E-5</v>
      </c>
      <c r="D82" s="11">
        <f t="shared" si="7"/>
        <v>4.6506363745644298E-2</v>
      </c>
      <c r="E82" s="11">
        <f t="shared" si="8"/>
        <v>4.6506728160467525E-2</v>
      </c>
      <c r="F82" s="34">
        <f t="shared" si="12"/>
        <v>57360.304089740581</v>
      </c>
      <c r="G82" s="34">
        <f t="shared" si="9"/>
        <v>2667.640069503319</v>
      </c>
      <c r="H82" s="13">
        <v>56491.85546875</v>
      </c>
      <c r="I82" s="13">
        <v>2628.102294921875</v>
      </c>
      <c r="J82" s="13">
        <v>55177.8046875</v>
      </c>
      <c r="K82" s="13"/>
      <c r="L82" s="13">
        <f t="shared" si="13"/>
        <v>56026.484054988927</v>
      </c>
      <c r="M82" s="13">
        <v>535977</v>
      </c>
      <c r="N82" s="13">
        <f>SUM(L82:L$89)</f>
        <v>544249.95929422439</v>
      </c>
      <c r="O82" s="30">
        <v>9.4876861572265625</v>
      </c>
      <c r="P82" s="36">
        <f t="shared" si="10"/>
        <v>9.4882683753339538</v>
      </c>
      <c r="Q82" s="43">
        <f t="shared" si="11"/>
        <v>0.2126551637246874</v>
      </c>
      <c r="R82" s="23">
        <f>Q82-'Cohort Method'!P82</f>
        <v>-3.725491914963186E-9</v>
      </c>
    </row>
    <row r="83" spans="1:18">
      <c r="A83" s="3" t="s">
        <v>95</v>
      </c>
      <c r="B83" s="11">
        <v>5.1400776952505112E-2</v>
      </c>
      <c r="C83" s="11">
        <f>'Opioid Mortality - WONDER'!H81/100000</f>
        <v>1.3538415253281186E-5</v>
      </c>
      <c r="D83" s="11">
        <f t="shared" si="7"/>
        <v>5.1387238537251828E-2</v>
      </c>
      <c r="E83" s="11">
        <f t="shared" si="8"/>
        <v>5.1387592507771473E-2</v>
      </c>
      <c r="F83" s="34">
        <f t="shared" si="12"/>
        <v>54692.664020237266</v>
      </c>
      <c r="G83" s="34">
        <f t="shared" si="9"/>
        <v>2810.5243318364069</v>
      </c>
      <c r="H83" s="13">
        <v>53863.75390625</v>
      </c>
      <c r="I83" s="13">
        <v>2768.638916015625</v>
      </c>
      <c r="J83" s="13">
        <v>52479.43359375</v>
      </c>
      <c r="K83" s="13"/>
      <c r="L83" s="13">
        <f t="shared" si="13"/>
        <v>53287.401854319061</v>
      </c>
      <c r="M83" s="13">
        <v>480799.1875</v>
      </c>
      <c r="N83" s="13">
        <f>SUM(L83:L$89)</f>
        <v>488223.47523923556</v>
      </c>
      <c r="O83" s="30">
        <v>8.9262104034423828</v>
      </c>
      <c r="P83" s="36">
        <f t="shared" si="10"/>
        <v>8.9266720498124599</v>
      </c>
      <c r="Q83" s="43">
        <f t="shared" si="11"/>
        <v>0.16861633667064702</v>
      </c>
      <c r="R83" s="23">
        <f>Q83-'Cohort Method'!P83</f>
        <v>-3.9065111145930587E-9</v>
      </c>
    </row>
    <row r="84" spans="1:18">
      <c r="A84" s="3" t="s">
        <v>96</v>
      </c>
      <c r="B84" s="11">
        <v>5.678277462720871E-2</v>
      </c>
      <c r="C84" s="11">
        <f>'Opioid Mortality - WONDER'!H82/100000</f>
        <v>3.3552486994217227E-6</v>
      </c>
      <c r="D84" s="11">
        <f t="shared" si="7"/>
        <v>5.6779419378509291E-2</v>
      </c>
      <c r="E84" s="11">
        <f t="shared" si="8"/>
        <v>5.6779516489096737E-2</v>
      </c>
      <c r="F84" s="34">
        <f t="shared" si="12"/>
        <v>51882.139688400857</v>
      </c>
      <c r="G84" s="34">
        <f t="shared" si="9"/>
        <v>2945.8428059271769</v>
      </c>
      <c r="H84" s="13">
        <v>51095.11328125</v>
      </c>
      <c r="I84" s="13">
        <v>2901.322265625</v>
      </c>
      <c r="J84" s="13">
        <v>49644.453125</v>
      </c>
      <c r="K84" s="13"/>
      <c r="L84" s="13">
        <f t="shared" si="13"/>
        <v>50409.218285437273</v>
      </c>
      <c r="M84" s="13">
        <v>428319.75</v>
      </c>
      <c r="N84" s="13">
        <f>SUM(L84:L$89)</f>
        <v>434936.07338491647</v>
      </c>
      <c r="O84" s="30">
        <v>8.3827924728393555</v>
      </c>
      <c r="P84" s="36">
        <f t="shared" si="10"/>
        <v>8.3831560532603451</v>
      </c>
      <c r="Q84" s="43">
        <f t="shared" si="11"/>
        <v>0.13279774876645378</v>
      </c>
      <c r="R84" s="23">
        <f>Q84-'Cohort Method'!P84</f>
        <v>-4.1186734023312965E-9</v>
      </c>
    </row>
    <row r="85" spans="1:18">
      <c r="A85" s="3" t="s">
        <v>97</v>
      </c>
      <c r="B85" s="11">
        <v>6.2514141201972961E-2</v>
      </c>
      <c r="C85" s="11">
        <f>'Opioid Mortality - WONDER'!H83/100000</f>
        <v>1.9922772090731925E-5</v>
      </c>
      <c r="D85" s="11">
        <f t="shared" si="7"/>
        <v>6.2494218429882231E-2</v>
      </c>
      <c r="E85" s="11">
        <f>1-(1-B85)^(D85/B85)</f>
        <v>6.2494854356892393E-2</v>
      </c>
      <c r="F85" s="34">
        <f t="shared" si="12"/>
        <v>48936.296882473682</v>
      </c>
      <c r="G85" s="34">
        <f t="shared" si="9"/>
        <v>3058.2667464358401</v>
      </c>
      <c r="H85" s="13">
        <v>48193.7890625</v>
      </c>
      <c r="I85" s="13">
        <v>3012.793212890625</v>
      </c>
      <c r="J85" s="13">
        <v>46687.390625</v>
      </c>
      <c r="K85" s="13"/>
      <c r="L85" s="13">
        <f t="shared" si="13"/>
        <v>47407.163509255763</v>
      </c>
      <c r="M85" s="13">
        <v>378675.3125</v>
      </c>
      <c r="N85" s="13">
        <f>SUM(L85:L$89)</f>
        <v>384526.8550994792</v>
      </c>
      <c r="O85" s="30">
        <v>7.8573465347290039</v>
      </c>
      <c r="P85" s="36">
        <f t="shared" si="10"/>
        <v>7.8577023517526472</v>
      </c>
      <c r="Q85" s="43">
        <f t="shared" si="11"/>
        <v>0.12996216788571169</v>
      </c>
      <c r="R85" s="23">
        <f>Q85-'Cohort Method'!P85</f>
        <v>1.4797021941070909E-5</v>
      </c>
    </row>
    <row r="86" spans="1:18">
      <c r="A86" s="3" t="s">
        <v>98</v>
      </c>
      <c r="B86" s="11">
        <v>6.9451943039894104E-2</v>
      </c>
      <c r="C86" s="11">
        <f>'Opioid Mortality - WONDER'!H84/100000</f>
        <v>1.1760900885007792E-5</v>
      </c>
      <c r="D86" s="11">
        <f t="shared" si="7"/>
        <v>6.9440182139009099E-2</v>
      </c>
      <c r="E86" s="11">
        <f t="shared" si="8"/>
        <v>6.9440600276194697E-2</v>
      </c>
      <c r="F86" s="34">
        <f t="shared" si="12"/>
        <v>45878.030136037843</v>
      </c>
      <c r="G86" s="34">
        <f t="shared" si="9"/>
        <v>3185.7979521358179</v>
      </c>
      <c r="H86" s="13">
        <v>45180.99609375</v>
      </c>
      <c r="I86" s="13">
        <v>3137.907958984375</v>
      </c>
      <c r="J86" s="13">
        <v>43612.04296875</v>
      </c>
      <c r="K86" s="13"/>
      <c r="L86" s="13">
        <f t="shared" si="13"/>
        <v>44285.131159969933</v>
      </c>
      <c r="M86" s="13">
        <v>331987.90625</v>
      </c>
      <c r="N86" s="13">
        <f>SUM(L86:L$89)</f>
        <v>337119.69159022346</v>
      </c>
      <c r="O86" s="30">
        <v>7.3479547500610352</v>
      </c>
      <c r="P86" s="36">
        <f t="shared" si="10"/>
        <v>7.3481727657136515</v>
      </c>
      <c r="Q86" s="43">
        <f t="shared" si="11"/>
        <v>7.9630217118127566E-2</v>
      </c>
      <c r="R86" s="23">
        <f>Q86-'Cohort Method'!P86</f>
        <v>-7.6008599414478795E-10</v>
      </c>
    </row>
    <row r="87" spans="1:18">
      <c r="A87" s="3" t="s">
        <v>99</v>
      </c>
      <c r="B87" s="11">
        <v>7.7621564269065857E-2</v>
      </c>
      <c r="C87" s="11">
        <f>'Opioid Mortality - WONDER'!H85/100000</f>
        <v>4.5279499027622757E-6</v>
      </c>
      <c r="D87" s="11">
        <f t="shared" si="7"/>
        <v>7.7617036319163099E-2</v>
      </c>
      <c r="E87" s="11">
        <f t="shared" si="8"/>
        <v>7.7617216774229614E-2</v>
      </c>
      <c r="F87" s="34">
        <f t="shared" si="12"/>
        <v>42692.232183902022</v>
      </c>
      <c r="G87" s="34">
        <f t="shared" si="9"/>
        <v>3313.6522399936653</v>
      </c>
      <c r="H87" s="13">
        <v>42043.08984375</v>
      </c>
      <c r="I87" s="13">
        <v>3263.450439453125</v>
      </c>
      <c r="J87" s="13">
        <v>40411.3671875</v>
      </c>
      <c r="K87" s="13"/>
      <c r="L87" s="13">
        <f t="shared" si="13"/>
        <v>41035.40606390519</v>
      </c>
      <c r="M87" s="13">
        <v>288375.875</v>
      </c>
      <c r="N87" s="13">
        <f>SUM(L87:L$89)</f>
        <v>292834.56043025351</v>
      </c>
      <c r="O87" s="30">
        <v>6.8590550422668457</v>
      </c>
      <c r="P87" s="36">
        <f t="shared" si="10"/>
        <v>6.859200033599385</v>
      </c>
      <c r="Q87" s="43">
        <f t="shared" si="11"/>
        <v>5.2958084209983936E-2</v>
      </c>
      <c r="R87" s="23">
        <f>Q87-'Cohort Method'!P87</f>
        <v>-8.1685724850899533E-10</v>
      </c>
    </row>
    <row r="88" spans="1:18">
      <c r="A88" s="3" t="s">
        <v>100</v>
      </c>
      <c r="B88" s="11">
        <v>8.6155369877815247E-2</v>
      </c>
      <c r="C88" s="11">
        <f>'Opioid Mortality - WONDER'!H86/100000</f>
        <v>9.7804293608489407E-6</v>
      </c>
      <c r="D88" s="11">
        <f t="shared" si="7"/>
        <v>8.6145589448454393E-2</v>
      </c>
      <c r="E88" s="11">
        <f>1-(1-B88)^(D88/B88)</f>
        <v>8.6146023368339097E-2</v>
      </c>
      <c r="F88" s="34">
        <f t="shared" si="12"/>
        <v>39378.579943908357</v>
      </c>
      <c r="G88" s="34">
        <f t="shared" si="9"/>
        <v>3392.3080680599387</v>
      </c>
      <c r="H88" s="13">
        <v>38779.640625</v>
      </c>
      <c r="I88" s="13">
        <v>3341.07421875</v>
      </c>
      <c r="J88" s="13">
        <v>37109.1015625</v>
      </c>
      <c r="K88" s="13"/>
      <c r="L88" s="13">
        <f t="shared" si="13"/>
        <v>37682.425909878388</v>
      </c>
      <c r="M88" s="13">
        <v>247964.5</v>
      </c>
      <c r="N88" s="13">
        <f>SUM(L88:L$89)</f>
        <v>251799.15436634832</v>
      </c>
      <c r="O88" s="30">
        <v>6.3941926956176758</v>
      </c>
      <c r="P88" s="36">
        <f t="shared" si="10"/>
        <v>6.3943177921859071</v>
      </c>
      <c r="Q88" s="43">
        <f t="shared" si="11"/>
        <v>4.5691521546497693E-2</v>
      </c>
      <c r="R88" s="23">
        <f>Q88-'Cohort Method'!P88</f>
        <v>1.8393711882946917E-5</v>
      </c>
    </row>
    <row r="89" spans="1:18">
      <c r="A89" s="26" t="s">
        <v>288</v>
      </c>
      <c r="B89" s="12">
        <v>1</v>
      </c>
      <c r="C89" s="12">
        <f>'Opioid Mortality - WONDER'!H87/100000</f>
        <v>1.1843824695602739E-5</v>
      </c>
      <c r="D89" s="12">
        <f t="shared" si="7"/>
        <v>0.99998815617530434</v>
      </c>
      <c r="E89" s="12">
        <f t="shared" si="8"/>
        <v>1</v>
      </c>
      <c r="F89" s="45">
        <f t="shared" si="12"/>
        <v>35986.271875848419</v>
      </c>
      <c r="G89" s="45">
        <f t="shared" si="9"/>
        <v>35986.271875848419</v>
      </c>
      <c r="H89" s="14">
        <v>35438.56640625</v>
      </c>
      <c r="I89" s="14">
        <f>H89</f>
        <v>35438.56640625</v>
      </c>
      <c r="J89" s="14">
        <f>SUM('2017 Life Table - Males'!E89:E104)</f>
        <v>210855.40539550781</v>
      </c>
      <c r="K89" s="14"/>
      <c r="L89" s="14">
        <f>(O89*F89)/(1-C89)</f>
        <v>214116.72845646992</v>
      </c>
      <c r="M89" s="14">
        <v>210855.40625</v>
      </c>
      <c r="N89" s="14">
        <f>SUM(L89:L$89)</f>
        <v>214116.72845646992</v>
      </c>
      <c r="O89" s="38">
        <v>5.949885368347168</v>
      </c>
      <c r="P89" s="46">
        <f t="shared" si="10"/>
        <v>5.949955838581066</v>
      </c>
      <c r="Q89" s="44">
        <f t="shared" si="11"/>
        <v>2.5739252931265222E-2</v>
      </c>
      <c r="R89" s="23">
        <f>Q89-'Cohort Method'!P89</f>
        <v>0</v>
      </c>
    </row>
    <row r="90" spans="1:18">
      <c r="A90" s="29"/>
      <c r="B90" s="27"/>
      <c r="C90" s="27"/>
      <c r="D90" s="27"/>
      <c r="E90" s="27"/>
      <c r="F90" s="27"/>
      <c r="G90" s="27"/>
      <c r="H90" s="28"/>
      <c r="I90" s="28"/>
      <c r="J90" s="28"/>
      <c r="K90" s="28"/>
      <c r="L90" s="28"/>
      <c r="M90" s="28"/>
      <c r="N90" s="28"/>
      <c r="O90" s="30"/>
    </row>
    <row r="91" spans="1:18">
      <c r="A91" s="29"/>
      <c r="B91" s="27"/>
      <c r="C91" s="27"/>
      <c r="D91" s="27"/>
      <c r="E91" s="27"/>
      <c r="F91" s="27"/>
      <c r="G91" s="27"/>
      <c r="H91" s="28"/>
      <c r="I91" s="28"/>
      <c r="J91" s="28"/>
      <c r="K91" s="28"/>
      <c r="L91" s="28"/>
      <c r="M91" s="28"/>
      <c r="N91" s="28"/>
      <c r="O91" s="30"/>
    </row>
    <row r="92" spans="1:18">
      <c r="A92" s="29"/>
      <c r="B92" s="27"/>
      <c r="C92" s="27"/>
      <c r="D92" s="27"/>
      <c r="E92" s="27"/>
      <c r="F92" s="27"/>
      <c r="G92" s="27"/>
      <c r="H92" s="28"/>
      <c r="I92" s="28"/>
      <c r="J92" s="28"/>
      <c r="K92" s="28"/>
      <c r="L92" s="28"/>
      <c r="M92" s="28"/>
      <c r="N92" s="28"/>
      <c r="O92" s="30"/>
    </row>
    <row r="93" spans="1:18">
      <c r="A93" s="29"/>
      <c r="B93" s="27"/>
      <c r="C93" s="27"/>
      <c r="D93" s="27"/>
      <c r="E93" s="27"/>
      <c r="F93" s="27"/>
      <c r="G93" s="27"/>
      <c r="H93" s="28"/>
      <c r="I93" s="28"/>
      <c r="J93" s="28"/>
      <c r="K93" s="28"/>
      <c r="L93" s="28"/>
      <c r="M93" s="28"/>
      <c r="N93" s="28"/>
      <c r="O93" s="30"/>
    </row>
    <row r="94" spans="1:18">
      <c r="A94" s="29"/>
      <c r="B94" s="27"/>
      <c r="C94" s="27"/>
      <c r="D94" s="27"/>
      <c r="E94" s="27"/>
      <c r="F94" s="27"/>
      <c r="G94" s="27"/>
      <c r="H94" s="28"/>
      <c r="I94" s="28"/>
      <c r="J94" s="28"/>
      <c r="K94" s="28"/>
      <c r="L94" s="28"/>
      <c r="M94" s="28"/>
      <c r="N94" s="28"/>
      <c r="O94" s="30"/>
    </row>
    <row r="95" spans="1:18">
      <c r="A95" s="29"/>
      <c r="B95" s="27"/>
      <c r="C95" s="27"/>
      <c r="D95" s="27"/>
      <c r="E95" s="27"/>
      <c r="F95" s="27"/>
      <c r="G95" s="27"/>
      <c r="H95" s="28"/>
      <c r="I95" s="28"/>
      <c r="J95" s="28"/>
      <c r="K95" s="28"/>
      <c r="L95" s="28"/>
      <c r="M95" s="28"/>
      <c r="N95" s="28"/>
      <c r="O95" s="30"/>
    </row>
    <row r="96" spans="1:18">
      <c r="A96" s="29"/>
      <c r="B96" s="27"/>
      <c r="C96" s="27"/>
      <c r="D96" s="27"/>
      <c r="E96" s="27"/>
      <c r="F96" s="27"/>
      <c r="G96" s="27"/>
      <c r="H96" s="28"/>
      <c r="I96" s="28"/>
      <c r="J96" s="28"/>
      <c r="K96" s="28"/>
      <c r="L96" s="28"/>
      <c r="M96" s="28"/>
      <c r="N96" s="28"/>
      <c r="O96" s="30"/>
    </row>
    <row r="97" spans="1:15">
      <c r="A97" s="29"/>
      <c r="B97" s="27"/>
      <c r="C97" s="27"/>
      <c r="D97" s="27"/>
      <c r="E97" s="27"/>
      <c r="F97" s="27"/>
      <c r="G97" s="27"/>
      <c r="H97" s="28"/>
      <c r="I97" s="28"/>
      <c r="J97" s="28"/>
      <c r="K97" s="28"/>
      <c r="L97" s="28"/>
      <c r="M97" s="28"/>
      <c r="N97" s="28"/>
      <c r="O97" s="30"/>
    </row>
    <row r="98" spans="1:15">
      <c r="A98" s="29"/>
      <c r="B98" s="27"/>
      <c r="C98" s="27"/>
      <c r="D98" s="27"/>
      <c r="E98" s="27"/>
      <c r="F98" s="27"/>
      <c r="G98" s="27"/>
      <c r="H98" s="28"/>
      <c r="I98" s="28"/>
      <c r="J98" s="28"/>
      <c r="K98" s="28"/>
      <c r="L98" s="28"/>
      <c r="M98" s="28"/>
      <c r="N98" s="28"/>
      <c r="O98" s="30"/>
    </row>
    <row r="99" spans="1:15">
      <c r="A99" s="29"/>
      <c r="B99" s="27"/>
      <c r="C99" s="27"/>
      <c r="D99" s="27"/>
      <c r="E99" s="27"/>
      <c r="F99" s="27"/>
      <c r="G99" s="27"/>
      <c r="H99" s="28"/>
      <c r="I99" s="28"/>
      <c r="J99" s="28"/>
      <c r="K99" s="28"/>
      <c r="L99" s="28"/>
      <c r="M99" s="28"/>
      <c r="N99" s="28"/>
      <c r="O99" s="30"/>
    </row>
    <row r="100" spans="1:15">
      <c r="A100" s="29"/>
      <c r="B100" s="27"/>
      <c r="C100" s="27"/>
      <c r="D100" s="27"/>
      <c r="E100" s="27"/>
      <c r="F100" s="27"/>
      <c r="G100" s="27"/>
      <c r="H100" s="28"/>
      <c r="I100" s="28"/>
      <c r="J100" s="28"/>
      <c r="K100" s="28"/>
      <c r="L100" s="28"/>
      <c r="M100" s="28"/>
      <c r="N100" s="28"/>
      <c r="O100" s="30"/>
    </row>
    <row r="101" spans="1:15">
      <c r="A101" s="29"/>
      <c r="B101" s="27"/>
      <c r="C101" s="27"/>
      <c r="D101" s="27"/>
      <c r="E101" s="27"/>
      <c r="F101" s="27"/>
      <c r="G101" s="27"/>
      <c r="H101" s="28"/>
      <c r="I101" s="28"/>
      <c r="J101" s="28"/>
      <c r="K101" s="28"/>
      <c r="L101" s="28"/>
      <c r="M101" s="28"/>
      <c r="N101" s="28"/>
      <c r="O101" s="30"/>
    </row>
    <row r="102" spans="1:15">
      <c r="A102" s="29"/>
      <c r="B102" s="27"/>
      <c r="C102" s="27"/>
      <c r="D102" s="27"/>
      <c r="E102" s="27"/>
      <c r="F102" s="27"/>
      <c r="G102" s="27"/>
      <c r="H102" s="28"/>
      <c r="I102" s="28"/>
      <c r="J102" s="28"/>
      <c r="K102" s="28"/>
      <c r="L102" s="28"/>
      <c r="M102" s="28"/>
      <c r="N102" s="28"/>
      <c r="O102" s="30"/>
    </row>
    <row r="103" spans="1:15">
      <c r="A103" s="29"/>
      <c r="B103" s="27"/>
      <c r="C103" s="27"/>
      <c r="D103" s="27"/>
      <c r="E103" s="27"/>
      <c r="F103" s="27"/>
      <c r="G103" s="27"/>
      <c r="H103" s="28"/>
      <c r="I103" s="28"/>
      <c r="J103" s="28"/>
      <c r="K103" s="28"/>
      <c r="L103" s="28"/>
      <c r="M103" s="28"/>
      <c r="N103" s="28"/>
      <c r="O103" s="30"/>
    </row>
    <row r="104" spans="1:15">
      <c r="A104" s="31"/>
      <c r="B104" s="27"/>
      <c r="C104" s="27"/>
      <c r="D104" s="27"/>
      <c r="E104" s="27"/>
      <c r="F104" s="27"/>
      <c r="G104" s="27"/>
      <c r="H104" s="28"/>
      <c r="I104" s="28"/>
      <c r="J104" s="28"/>
      <c r="K104" s="28"/>
      <c r="L104" s="28"/>
      <c r="M104" s="28"/>
      <c r="N104" s="28"/>
      <c r="O104" s="30"/>
    </row>
    <row r="105" spans="1:15" ht="15" customHeight="1">
      <c r="A105" s="18"/>
      <c r="B105" s="18"/>
      <c r="C105" s="11"/>
      <c r="D105" s="18"/>
      <c r="E105" s="18"/>
      <c r="F105" s="21"/>
      <c r="G105" s="21"/>
      <c r="H105" s="18"/>
      <c r="I105" s="18"/>
      <c r="J105" s="18"/>
      <c r="K105" s="21"/>
      <c r="L105" s="21"/>
      <c r="M105" s="18"/>
      <c r="N105" s="21"/>
      <c r="O105" s="18"/>
    </row>
    <row r="106" spans="1:15" ht="105">
      <c r="A106" s="18" t="s">
        <v>8</v>
      </c>
    </row>
  </sheetData>
  <pageMargins left="0.7" right="0.7" top="0.75" bottom="0.75" header="0.3" footer="0.3"/>
  <pageSetup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104"/>
  <sheetViews>
    <sheetView zoomScale="140" zoomScaleNormal="14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J5" sqref="J5"/>
    </sheetView>
  </sheetViews>
  <sheetFormatPr baseColWidth="10" defaultColWidth="8.83203125" defaultRowHeight="15"/>
  <cols>
    <col min="2" max="2" width="12.5" customWidth="1"/>
    <col min="3" max="3" width="14.1640625" style="47" customWidth="1"/>
    <col min="4" max="4" width="10.1640625" bestFit="1" customWidth="1"/>
    <col min="5" max="5" width="12.5" bestFit="1" customWidth="1"/>
    <col min="6" max="9" width="9.33203125" bestFit="1" customWidth="1"/>
    <col min="10" max="10" width="10.1640625" bestFit="1" customWidth="1"/>
    <col min="11" max="11" width="12.5" bestFit="1" customWidth="1"/>
    <col min="12" max="13" width="11.33203125" bestFit="1" customWidth="1"/>
    <col min="14" max="15" width="9.33203125" bestFit="1" customWidth="1"/>
    <col min="16" max="16" width="9.83203125" customWidth="1"/>
  </cols>
  <sheetData>
    <row r="1" spans="1:16" s="49" customFormat="1">
      <c r="A1" s="75" t="s">
        <v>304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6" s="49" customFormat="1" ht="150">
      <c r="A2" s="76" t="s">
        <v>1</v>
      </c>
      <c r="B2" s="50" t="s">
        <v>309</v>
      </c>
      <c r="C2" s="51" t="s">
        <v>284</v>
      </c>
      <c r="D2" s="50" t="s">
        <v>286</v>
      </c>
      <c r="E2" s="50" t="s">
        <v>289</v>
      </c>
      <c r="F2" s="52" t="s">
        <v>310</v>
      </c>
      <c r="G2" s="52" t="s">
        <v>311</v>
      </c>
      <c r="H2" s="52" t="s">
        <v>312</v>
      </c>
      <c r="I2" s="52" t="s">
        <v>313</v>
      </c>
      <c r="J2" s="52" t="s">
        <v>305</v>
      </c>
      <c r="K2" s="52" t="s">
        <v>314</v>
      </c>
      <c r="L2" s="52" t="s">
        <v>315</v>
      </c>
      <c r="M2" s="52" t="s">
        <v>316</v>
      </c>
      <c r="N2" s="53" t="s">
        <v>317</v>
      </c>
      <c r="O2" s="54" t="s">
        <v>318</v>
      </c>
      <c r="P2" s="55" t="s">
        <v>306</v>
      </c>
    </row>
    <row r="3" spans="1:16" s="49" customFormat="1" ht="18">
      <c r="A3" s="77"/>
      <c r="B3" s="56" t="s">
        <v>319</v>
      </c>
      <c r="C3" s="57" t="s">
        <v>320</v>
      </c>
      <c r="D3" s="56" t="s">
        <v>321</v>
      </c>
      <c r="E3" s="56" t="s">
        <v>322</v>
      </c>
      <c r="F3" s="58" t="s">
        <v>323</v>
      </c>
      <c r="G3" s="58" t="s">
        <v>324</v>
      </c>
      <c r="H3" s="58" t="s">
        <v>325</v>
      </c>
      <c r="I3" s="58" t="s">
        <v>326</v>
      </c>
      <c r="J3" s="58" t="s">
        <v>327</v>
      </c>
      <c r="K3" s="58" t="s">
        <v>328</v>
      </c>
      <c r="L3" s="58" t="s">
        <v>329</v>
      </c>
      <c r="M3" s="58" t="s">
        <v>330</v>
      </c>
      <c r="N3" s="59" t="s">
        <v>331</v>
      </c>
      <c r="O3" s="58" t="s">
        <v>332</v>
      </c>
      <c r="P3" s="59" t="s">
        <v>333</v>
      </c>
    </row>
    <row r="4" spans="1:16" s="49" customFormat="1">
      <c r="A4" s="2" t="s">
        <v>16</v>
      </c>
      <c r="B4" s="11">
        <v>6.3023469410836697E-3</v>
      </c>
      <c r="C4" s="60">
        <f>'Opioid Mortality - WONDER'!H2/100000</f>
        <v>4.4661687715554673E-6</v>
      </c>
      <c r="D4" s="11">
        <f>B4-C4</f>
        <v>6.2978807723121141E-3</v>
      </c>
      <c r="E4" s="61">
        <f>1-(1-B4)^(D4/B4)</f>
        <v>6.2978948656705613E-3</v>
      </c>
      <c r="F4" s="13">
        <v>100000</v>
      </c>
      <c r="G4" s="13">
        <f>F4*E4</f>
        <v>629.78948656705609</v>
      </c>
      <c r="H4" s="13">
        <f>'2017 Life Table - Males'!C4</f>
        <v>100000</v>
      </c>
      <c r="I4" s="13">
        <f>'2017 Life Table - Males'!E4</f>
        <v>99448.546875</v>
      </c>
      <c r="J4" s="62">
        <f>(H4-I4)/(H4-H5)</f>
        <v>0.874996900954506</v>
      </c>
      <c r="K4" s="63">
        <f>(1-J4)*F4+(J4*F5)</f>
        <v>99448.936151000104</v>
      </c>
      <c r="L4" s="13">
        <f>'2017 Life Table - Males'!F4</f>
        <v>7610075</v>
      </c>
      <c r="M4" s="13">
        <f>SUM(K4:K$89)</f>
        <v>7664507.0088979648</v>
      </c>
      <c r="N4" s="64">
        <f>'2017 Life Table - Males'!G4</f>
        <v>76.100753784179688</v>
      </c>
      <c r="O4" s="65">
        <f>M4/F4</f>
        <v>76.645070088979651</v>
      </c>
      <c r="P4" s="66">
        <f>(O4-N4)*365.25</f>
        <v>198.81153032818659</v>
      </c>
    </row>
    <row r="5" spans="1:16" s="49" customFormat="1">
      <c r="A5" s="3" t="s">
        <v>17</v>
      </c>
      <c r="B5" s="11">
        <v>4.2268639663234353E-4</v>
      </c>
      <c r="C5" s="60">
        <f>'Opioid Mortality - WONDER'!H3/100000</f>
        <v>4.4297486166879461E-6</v>
      </c>
      <c r="D5" s="11">
        <f t="shared" ref="D5:D68" si="0">B5-C5</f>
        <v>4.1825664801565561E-4</v>
      </c>
      <c r="E5" s="61">
        <f t="shared" ref="E5:E68" si="1">1-(1-B5)^(D5/B5)</f>
        <v>4.1825757453350931E-4</v>
      </c>
      <c r="F5" s="13">
        <f>F4*(1-E4)</f>
        <v>99370.210513432947</v>
      </c>
      <c r="G5" s="13">
        <f t="shared" ref="G5:G68" si="2">F5*E5</f>
        <v>41.562343230232692</v>
      </c>
      <c r="H5" s="13">
        <f>'2017 Life Table - Males'!C5</f>
        <v>99369.765625</v>
      </c>
      <c r="I5" s="13">
        <f>'2017 Life Table - Males'!E5</f>
        <v>99348.765625</v>
      </c>
      <c r="J5" s="62">
        <f t="shared" ref="J5:J68" si="3">(H5-I5)/(H5-H6)</f>
        <v>0.5</v>
      </c>
      <c r="K5" s="63">
        <f t="shared" ref="K5:K68" si="4">(1-J5)*F5+(J5*F6)</f>
        <v>99349.429341817828</v>
      </c>
      <c r="L5" s="13">
        <f>'2017 Life Table - Males'!F5</f>
        <v>7510626.5</v>
      </c>
      <c r="M5" s="13">
        <f>SUM(K5:K$89)</f>
        <v>7565058.0727469632</v>
      </c>
      <c r="N5" s="64">
        <f>'2017 Life Table - Males'!G5</f>
        <v>75.582611083984375</v>
      </c>
      <c r="O5" s="65">
        <f t="shared" ref="O5:O68" si="5">M5/F5</f>
        <v>76.13003971370587</v>
      </c>
      <c r="P5" s="66">
        <f t="shared" ref="P5:P68" si="6">(O5-N5)*365.25</f>
        <v>199.94830700577589</v>
      </c>
    </row>
    <row r="6" spans="1:16" s="49" customFormat="1">
      <c r="A6" s="3" t="s">
        <v>18</v>
      </c>
      <c r="B6" s="11">
        <v>2.8743533766828477E-4</v>
      </c>
      <c r="C6" s="60">
        <f>'Opioid Mortality - WONDER'!H4/100000</f>
        <v>1.4587005409347838E-6</v>
      </c>
      <c r="D6" s="11">
        <f t="shared" si="0"/>
        <v>2.8597663712734997E-4</v>
      </c>
      <c r="E6" s="61">
        <f t="shared" si="1"/>
        <v>2.8597684572462256E-4</v>
      </c>
      <c r="F6" s="13">
        <f t="shared" ref="F6:F69" si="7">F5*(1-E5)</f>
        <v>99328.648170202709</v>
      </c>
      <c r="G6" s="13">
        <f t="shared" si="2"/>
        <v>28.405693493805373</v>
      </c>
      <c r="H6" s="13">
        <f>'2017 Life Table - Males'!C6</f>
        <v>99327.765625</v>
      </c>
      <c r="I6" s="13">
        <f>'2017 Life Table - Males'!E6</f>
        <v>99313.4921875</v>
      </c>
      <c r="J6" s="62">
        <f t="shared" si="3"/>
        <v>0.5</v>
      </c>
      <c r="K6" s="63">
        <f t="shared" si="4"/>
        <v>99314.445323455802</v>
      </c>
      <c r="L6" s="13">
        <f>'2017 Life Table - Males'!F6</f>
        <v>7411277.5</v>
      </c>
      <c r="M6" s="13">
        <f>SUM(K6:K$89)</f>
        <v>7465708.643405146</v>
      </c>
      <c r="N6" s="64">
        <f>'2017 Life Table - Males'!G6</f>
        <v>74.614356994628906</v>
      </c>
      <c r="O6" s="65">
        <f t="shared" si="5"/>
        <v>75.161685786888228</v>
      </c>
      <c r="P6" s="66">
        <f t="shared" si="6"/>
        <v>199.91184137271719</v>
      </c>
    </row>
    <row r="7" spans="1:16" s="49" customFormat="1">
      <c r="A7" s="3" t="s">
        <v>19</v>
      </c>
      <c r="B7" s="11">
        <v>2.2494496079161763E-4</v>
      </c>
      <c r="C7" s="60">
        <f>'Opioid Mortality - WONDER'!H5/100000</f>
        <v>1.4630763423481597E-6</v>
      </c>
      <c r="D7" s="11">
        <f t="shared" si="0"/>
        <v>2.2348188444926948E-4</v>
      </c>
      <c r="E7" s="61">
        <f t="shared" si="1"/>
        <v>2.2348204794708781E-4</v>
      </c>
      <c r="F7" s="13">
        <f t="shared" si="7"/>
        <v>99300.242476708896</v>
      </c>
      <c r="G7" s="13">
        <f t="shared" si="2"/>
        <v>22.191821550337302</v>
      </c>
      <c r="H7" s="13">
        <f>'2017 Life Table - Males'!C7</f>
        <v>99299.21875</v>
      </c>
      <c r="I7" s="13">
        <f>'2017 Life Table - Males'!E7</f>
        <v>99288.046875</v>
      </c>
      <c r="J7" s="62">
        <f t="shared" si="3"/>
        <v>0.50017488632388951</v>
      </c>
      <c r="K7" s="63">
        <f t="shared" si="4"/>
        <v>99289.142684887629</v>
      </c>
      <c r="L7" s="13">
        <f>'2017 Life Table - Males'!F7</f>
        <v>7311964</v>
      </c>
      <c r="M7" s="13">
        <f>SUM(K7:K$89)</f>
        <v>7366394.1980816899</v>
      </c>
      <c r="N7" s="64">
        <f>'2017 Life Table - Males'!G7</f>
        <v>73.635665893554688</v>
      </c>
      <c r="O7" s="65">
        <f t="shared" si="5"/>
        <v>74.183043408071185</v>
      </c>
      <c r="P7" s="66">
        <f t="shared" si="6"/>
        <v>199.92963717715085</v>
      </c>
    </row>
    <row r="8" spans="1:16" s="49" customFormat="1">
      <c r="A8" s="3" t="s">
        <v>20</v>
      </c>
      <c r="B8" s="11">
        <v>1.5816476661711931E-4</v>
      </c>
      <c r="C8" s="60">
        <f>'Opioid Mortality - WONDER'!H6/100000</f>
        <v>9.7943144983768376E-7</v>
      </c>
      <c r="D8" s="11">
        <f t="shared" si="0"/>
        <v>1.5718533516728163E-4</v>
      </c>
      <c r="E8" s="61">
        <f t="shared" si="1"/>
        <v>1.5718541214748694E-4</v>
      </c>
      <c r="F8" s="13">
        <f t="shared" si="7"/>
        <v>99278.050655158557</v>
      </c>
      <c r="G8" s="13">
        <f t="shared" si="2"/>
        <v>15.605061309430184</v>
      </c>
      <c r="H8" s="13">
        <f>'2017 Life Table - Males'!C8</f>
        <v>99276.8828125</v>
      </c>
      <c r="I8" s="13">
        <f>'2017 Life Table - Males'!E8</f>
        <v>99269.03125</v>
      </c>
      <c r="J8" s="62">
        <f t="shared" si="3"/>
        <v>0.5</v>
      </c>
      <c r="K8" s="63">
        <f t="shared" si="4"/>
        <v>99270.248124503851</v>
      </c>
      <c r="L8" s="13">
        <f>'2017 Life Table - Males'!F8</f>
        <v>7212676</v>
      </c>
      <c r="M8" s="13">
        <f>SUM(K8:K$89)</f>
        <v>7267105.0553968018</v>
      </c>
      <c r="N8" s="64">
        <f>'2017 Life Table - Males'!G8</f>
        <v>72.652122497558594</v>
      </c>
      <c r="O8" s="65">
        <f t="shared" si="5"/>
        <v>73.199513965468839</v>
      </c>
      <c r="P8" s="66">
        <f t="shared" si="6"/>
        <v>199.93473365421698</v>
      </c>
    </row>
    <row r="9" spans="1:16" s="49" customFormat="1">
      <c r="A9" s="3" t="s">
        <v>21</v>
      </c>
      <c r="B9" s="11">
        <v>1.5554059064015746E-4</v>
      </c>
      <c r="C9" s="60">
        <f>'Opioid Mortality - WONDER'!H7/100000</f>
        <v>0</v>
      </c>
      <c r="D9" s="11">
        <f t="shared" si="0"/>
        <v>1.5554059064015746E-4</v>
      </c>
      <c r="E9" s="61">
        <f t="shared" si="1"/>
        <v>1.5554059064015746E-4</v>
      </c>
      <c r="F9" s="13">
        <f t="shared" si="7"/>
        <v>99262.44559384913</v>
      </c>
      <c r="G9" s="13">
        <f t="shared" si="2"/>
        <v>15.439339416053789</v>
      </c>
      <c r="H9" s="13">
        <f>'2017 Life Table - Males'!C9</f>
        <v>99261.1796875</v>
      </c>
      <c r="I9" s="13">
        <f>'2017 Life Table - Males'!E9</f>
        <v>99253.4609375</v>
      </c>
      <c r="J9" s="62">
        <f t="shared" si="3"/>
        <v>0.5</v>
      </c>
      <c r="K9" s="63">
        <f t="shared" si="4"/>
        <v>99254.725924141094</v>
      </c>
      <c r="L9" s="13">
        <f>'2017 Life Table - Males'!F9</f>
        <v>7113407</v>
      </c>
      <c r="M9" s="13">
        <f>SUM(K9:K$89)</f>
        <v>7167834.8072722973</v>
      </c>
      <c r="N9" s="64">
        <f>'2017 Life Table - Males'!G9</f>
        <v>71.663536071777344</v>
      </c>
      <c r="O9" s="65">
        <f t="shared" si="5"/>
        <v>72.210943065022136</v>
      </c>
      <c r="P9" s="66">
        <f t="shared" si="6"/>
        <v>199.94040428266021</v>
      </c>
    </row>
    <row r="10" spans="1:16" s="49" customFormat="1">
      <c r="A10" s="3" t="s">
        <v>22</v>
      </c>
      <c r="B10" s="11">
        <v>1.3845614739693701E-4</v>
      </c>
      <c r="C10" s="60">
        <f>'Opioid Mortality - WONDER'!H8/100000</f>
        <v>4.8327832820494486E-7</v>
      </c>
      <c r="D10" s="11">
        <f t="shared" si="0"/>
        <v>1.3797286906873206E-4</v>
      </c>
      <c r="E10" s="61">
        <f t="shared" si="1"/>
        <v>1.3797290240991078E-4</v>
      </c>
      <c r="F10" s="13">
        <f t="shared" si="7"/>
        <v>99247.006254433072</v>
      </c>
      <c r="G10" s="13">
        <f t="shared" si="2"/>
        <v>13.693397508418698</v>
      </c>
      <c r="H10" s="13">
        <f>'2017 Life Table - Males'!C10</f>
        <v>99245.7421875</v>
      </c>
      <c r="I10" s="13">
        <f>'2017 Life Table - Males'!E10</f>
        <v>99238.875</v>
      </c>
      <c r="J10" s="62">
        <f t="shared" si="3"/>
        <v>0.49971574758385445</v>
      </c>
      <c r="K10" s="63">
        <f t="shared" si="4"/>
        <v>99240.163448060179</v>
      </c>
      <c r="L10" s="13">
        <f>'2017 Life Table - Males'!F10</f>
        <v>7014153.5</v>
      </c>
      <c r="M10" s="13">
        <f>SUM(K10:K$89)</f>
        <v>7068580.0813481575</v>
      </c>
      <c r="N10" s="64">
        <f>'2017 Life Table - Males'!G10</f>
        <v>70.674606323242188</v>
      </c>
      <c r="O10" s="65">
        <f t="shared" si="5"/>
        <v>71.222098762625649</v>
      </c>
      <c r="P10" s="66">
        <f t="shared" si="6"/>
        <v>199.97161348480921</v>
      </c>
    </row>
    <row r="11" spans="1:16" s="49" customFormat="1">
      <c r="A11" s="3" t="s">
        <v>23</v>
      </c>
      <c r="B11" s="11">
        <v>1.2436427641659975E-4</v>
      </c>
      <c r="C11" s="60">
        <f>'Opioid Mortality - WONDER'!H9/100000</f>
        <v>0</v>
      </c>
      <c r="D11" s="11">
        <f t="shared" si="0"/>
        <v>1.2436427641659975E-4</v>
      </c>
      <c r="E11" s="61">
        <f t="shared" si="1"/>
        <v>1.2436427641659975E-4</v>
      </c>
      <c r="F11" s="13">
        <f t="shared" si="7"/>
        <v>99233.312856924647</v>
      </c>
      <c r="G11" s="13">
        <f t="shared" si="2"/>
        <v>12.341079149873499</v>
      </c>
      <c r="H11" s="13">
        <f>'2017 Life Table - Males'!C11</f>
        <v>99232</v>
      </c>
      <c r="I11" s="13">
        <f>'2017 Life Table - Males'!E11</f>
        <v>99225.828125</v>
      </c>
      <c r="J11" s="62">
        <f t="shared" si="3"/>
        <v>0.5</v>
      </c>
      <c r="K11" s="63">
        <f t="shared" si="4"/>
        <v>99227.142317349702</v>
      </c>
      <c r="L11" s="13">
        <f>'2017 Life Table - Males'!F11</f>
        <v>6914914.5</v>
      </c>
      <c r="M11" s="13">
        <f>SUM(K11:K$89)</f>
        <v>6969339.9179000976</v>
      </c>
      <c r="N11" s="64">
        <f>'2017 Life Table - Males'!G11</f>
        <v>69.684318542480469</v>
      </c>
      <c r="O11" s="65">
        <f t="shared" si="5"/>
        <v>70.231857803120462</v>
      </c>
      <c r="P11" s="66">
        <f t="shared" si="6"/>
        <v>199.98871494875766</v>
      </c>
    </row>
    <row r="12" spans="1:16" s="49" customFormat="1">
      <c r="A12" s="3" t="s">
        <v>24</v>
      </c>
      <c r="B12" s="11">
        <v>1.1041062680305913E-4</v>
      </c>
      <c r="C12" s="60">
        <f>'Opioid Mortality - WONDER'!H10/100000</f>
        <v>4.8492560271403164E-7</v>
      </c>
      <c r="D12" s="11">
        <f t="shared" si="0"/>
        <v>1.099257012003451E-4</v>
      </c>
      <c r="E12" s="61">
        <f t="shared" si="1"/>
        <v>1.0992572785417654E-4</v>
      </c>
      <c r="F12" s="13">
        <f t="shared" si="7"/>
        <v>99220.971777774772</v>
      </c>
      <c r="G12" s="13">
        <f t="shared" si="2"/>
        <v>10.906937541070601</v>
      </c>
      <c r="H12" s="13">
        <f>'2017 Life Table - Males'!C12</f>
        <v>99219.65625</v>
      </c>
      <c r="I12" s="13">
        <f>'2017 Life Table - Males'!E12</f>
        <v>99214.1796875</v>
      </c>
      <c r="J12" s="62">
        <f t="shared" si="3"/>
        <v>0.5</v>
      </c>
      <c r="K12" s="63">
        <f t="shared" si="4"/>
        <v>99215.518309004226</v>
      </c>
      <c r="L12" s="13">
        <f>'2017 Life Table - Males'!F12</f>
        <v>6815689</v>
      </c>
      <c r="M12" s="13">
        <f>SUM(K12:K$89)</f>
        <v>6870112.7755827485</v>
      </c>
      <c r="N12" s="64">
        <f>'2017 Life Table - Males'!G12</f>
        <v>68.69293212890625</v>
      </c>
      <c r="O12" s="65">
        <f t="shared" si="5"/>
        <v>69.2405310337994</v>
      </c>
      <c r="P12" s="66">
        <f t="shared" si="6"/>
        <v>200.01050001222288</v>
      </c>
    </row>
    <row r="13" spans="1:16" s="49" customFormat="1">
      <c r="A13" s="3" t="s">
        <v>25</v>
      </c>
      <c r="B13" s="11">
        <v>9.8203672678209841E-5</v>
      </c>
      <c r="C13" s="60">
        <f>'Opioid Mortality - WONDER'!H11/100000</f>
        <v>0</v>
      </c>
      <c r="D13" s="11">
        <f t="shared" si="0"/>
        <v>9.8203672678209841E-5</v>
      </c>
      <c r="E13" s="61">
        <f t="shared" si="1"/>
        <v>9.8203672678209841E-5</v>
      </c>
      <c r="F13" s="13">
        <f t="shared" si="7"/>
        <v>99210.064840233696</v>
      </c>
      <c r="G13" s="13">
        <f t="shared" si="2"/>
        <v>9.7427927339542837</v>
      </c>
      <c r="H13" s="13">
        <f>'2017 Life Table - Males'!C13</f>
        <v>99208.703125</v>
      </c>
      <c r="I13" s="13">
        <f>'2017 Life Table - Males'!E13</f>
        <v>99203.828125</v>
      </c>
      <c r="J13" s="62">
        <f t="shared" si="3"/>
        <v>0.5004009623095429</v>
      </c>
      <c r="K13" s="63">
        <f t="shared" si="4"/>
        <v>99205.189537374041</v>
      </c>
      <c r="L13" s="13">
        <f>'2017 Life Table - Males'!F13</f>
        <v>6716474.5</v>
      </c>
      <c r="M13" s="13">
        <f>SUM(K13:K$89)</f>
        <v>6770897.2572737439</v>
      </c>
      <c r="N13" s="64">
        <f>'2017 Life Table - Males'!G13</f>
        <v>67.700454711914062</v>
      </c>
      <c r="O13" s="65">
        <f t="shared" si="5"/>
        <v>68.248088217435281</v>
      </c>
      <c r="P13" s="66">
        <f t="shared" si="6"/>
        <v>200.0231378916252</v>
      </c>
    </row>
    <row r="14" spans="1:16" s="49" customFormat="1">
      <c r="A14" s="3" t="s">
        <v>26</v>
      </c>
      <c r="B14" s="11">
        <v>9.3976806965656579E-5</v>
      </c>
      <c r="C14" s="60">
        <f>'Opioid Mortality - WONDER'!H12/100000</f>
        <v>9.3428169153568817E-7</v>
      </c>
      <c r="D14" s="11">
        <f t="shared" si="0"/>
        <v>9.3042525274120893E-5</v>
      </c>
      <c r="E14" s="61">
        <f t="shared" si="1"/>
        <v>9.3042568739432063E-5</v>
      </c>
      <c r="F14" s="13">
        <f t="shared" si="7"/>
        <v>99200.322047499736</v>
      </c>
      <c r="G14" s="13">
        <f t="shared" si="2"/>
        <v>9.229852783078293</v>
      </c>
      <c r="H14" s="13">
        <f>'2017 Life Table - Males'!C14</f>
        <v>99198.9609375</v>
      </c>
      <c r="I14" s="13">
        <f>'2017 Life Table - Males'!E14</f>
        <v>99194.296875</v>
      </c>
      <c r="J14" s="62">
        <f t="shared" si="3"/>
        <v>0.5004191114836547</v>
      </c>
      <c r="K14" s="63">
        <f t="shared" si="4"/>
        <v>99195.703252770909</v>
      </c>
      <c r="L14" s="13">
        <f>'2017 Life Table - Males'!F14</f>
        <v>6617271</v>
      </c>
      <c r="M14" s="13">
        <f>SUM(K14:K$89)</f>
        <v>6671692.0677363705</v>
      </c>
      <c r="N14" s="64">
        <f>'2017 Life Table - Males'!G14</f>
        <v>66.707061767578125</v>
      </c>
      <c r="O14" s="65">
        <f t="shared" si="5"/>
        <v>67.254742021319117</v>
      </c>
      <c r="P14" s="66">
        <f t="shared" si="6"/>
        <v>200.04021267889746</v>
      </c>
    </row>
    <row r="15" spans="1:16" s="49" customFormat="1">
      <c r="A15" s="3" t="s">
        <v>27</v>
      </c>
      <c r="B15" s="11">
        <v>1.0786124767037109E-4</v>
      </c>
      <c r="C15" s="60">
        <f>'Opioid Mortality - WONDER'!H13/100000</f>
        <v>4.7084991705978711E-7</v>
      </c>
      <c r="D15" s="11">
        <f t="shared" si="0"/>
        <v>1.073903977533113E-4</v>
      </c>
      <c r="E15" s="61">
        <f t="shared" si="1"/>
        <v>1.0739042303664625E-4</v>
      </c>
      <c r="F15" s="13">
        <f t="shared" si="7"/>
        <v>99191.092194716664</v>
      </c>
      <c r="G15" s="13">
        <f t="shared" si="2"/>
        <v>10.652173352257602</v>
      </c>
      <c r="H15" s="13">
        <f>'2017 Life Table - Males'!C15</f>
        <v>99189.640625</v>
      </c>
      <c r="I15" s="13">
        <f>'2017 Life Table - Males'!E15</f>
        <v>99184.296875</v>
      </c>
      <c r="J15" s="62">
        <f t="shared" si="3"/>
        <v>0.49963476990504019</v>
      </c>
      <c r="K15" s="63">
        <f t="shared" si="4"/>
        <v>99185.769998534815</v>
      </c>
      <c r="L15" s="13">
        <f>'2017 Life Table - Males'!F15</f>
        <v>6518076.5</v>
      </c>
      <c r="M15" s="13">
        <f>SUM(K15:K$89)</f>
        <v>6572496.3644835996</v>
      </c>
      <c r="N15" s="64">
        <f>'2017 Life Table - Males'!G15</f>
        <v>65.713279724121094</v>
      </c>
      <c r="O15" s="65">
        <f t="shared" si="5"/>
        <v>66.260953670935365</v>
      </c>
      <c r="P15" s="66">
        <f t="shared" si="6"/>
        <v>200.03790907391252</v>
      </c>
    </row>
    <row r="16" spans="1:16" s="49" customFormat="1">
      <c r="A16" s="3" t="s">
        <v>28</v>
      </c>
      <c r="B16" s="11">
        <v>1.5155704750213772E-4</v>
      </c>
      <c r="C16" s="60">
        <f>'Opioid Mortality - WONDER'!H14/100000</f>
        <v>9.4506346101140697E-7</v>
      </c>
      <c r="D16" s="11">
        <f t="shared" si="0"/>
        <v>1.5061198404112632E-4</v>
      </c>
      <c r="E16" s="61">
        <f t="shared" si="1"/>
        <v>1.506120552137169E-4</v>
      </c>
      <c r="F16" s="13">
        <f t="shared" si="7"/>
        <v>99180.440021364411</v>
      </c>
      <c r="G16" s="13">
        <f t="shared" si="2"/>
        <v>14.937769908618474</v>
      </c>
      <c r="H16" s="13">
        <f>'2017 Life Table - Males'!C16</f>
        <v>99178.9453125</v>
      </c>
      <c r="I16" s="13">
        <f>'2017 Life Table - Males'!E16</f>
        <v>99171.4296875</v>
      </c>
      <c r="J16" s="62">
        <f t="shared" si="3"/>
        <v>0.5</v>
      </c>
      <c r="K16" s="63">
        <f t="shared" si="4"/>
        <v>99172.971136410109</v>
      </c>
      <c r="L16" s="13">
        <f>'2017 Life Table - Males'!F16</f>
        <v>6418892.5</v>
      </c>
      <c r="M16" s="13">
        <f>SUM(K16:K$89)</f>
        <v>6473310.5944850659</v>
      </c>
      <c r="N16" s="64">
        <f>'2017 Life Table - Males'!G16</f>
        <v>64.720314025878906</v>
      </c>
      <c r="O16" s="65">
        <f t="shared" si="5"/>
        <v>65.268016486825957</v>
      </c>
      <c r="P16" s="66">
        <f t="shared" si="6"/>
        <v>200.04832386091016</v>
      </c>
    </row>
    <row r="17" spans="1:16" s="49" customFormat="1">
      <c r="A17" s="3" t="s">
        <v>29</v>
      </c>
      <c r="B17" s="11">
        <v>2.3189505736809224E-4</v>
      </c>
      <c r="C17" s="60">
        <f>'Opioid Mortality - WONDER'!H15/100000</f>
        <v>9.435929566447344E-7</v>
      </c>
      <c r="D17" s="11">
        <f t="shared" si="0"/>
        <v>2.309514644114475E-4</v>
      </c>
      <c r="E17" s="61">
        <f t="shared" si="1"/>
        <v>2.3095157338204331E-4</v>
      </c>
      <c r="F17" s="13">
        <f t="shared" si="7"/>
        <v>99165.502251455793</v>
      </c>
      <c r="G17" s="13">
        <f t="shared" si="2"/>
        <v>22.902428770194273</v>
      </c>
      <c r="H17" s="13">
        <f>'2017 Life Table - Males'!C17</f>
        <v>99163.9140625</v>
      </c>
      <c r="I17" s="13">
        <f>'2017 Life Table - Males'!E17</f>
        <v>99152.421875</v>
      </c>
      <c r="J17" s="62">
        <f t="shared" si="3"/>
        <v>0.49983010533469246</v>
      </c>
      <c r="K17" s="63">
        <f t="shared" si="4"/>
        <v>99154.054928071157</v>
      </c>
      <c r="L17" s="13">
        <f>'2017 Life Table - Males'!F17</f>
        <v>6319721</v>
      </c>
      <c r="M17" s="13">
        <f>SUM(K17:K$89)</f>
        <v>6374137.6233486552</v>
      </c>
      <c r="N17" s="64">
        <f>'2017 Life Table - Males'!G17</f>
        <v>63.730049133300781</v>
      </c>
      <c r="O17" s="65">
        <f t="shared" si="5"/>
        <v>64.277772800319582</v>
      </c>
      <c r="P17" s="66">
        <f t="shared" si="6"/>
        <v>200.05606937861691</v>
      </c>
    </row>
    <row r="18" spans="1:16" s="49" customFormat="1">
      <c r="A18" s="3" t="s">
        <v>30</v>
      </c>
      <c r="B18" s="11">
        <v>3.4138996852561831E-4</v>
      </c>
      <c r="C18" s="60">
        <f>'Opioid Mortality - WONDER'!H16/100000</f>
        <v>2.8506907936465704E-6</v>
      </c>
      <c r="D18" s="11">
        <f t="shared" si="0"/>
        <v>3.3853927773197176E-4</v>
      </c>
      <c r="E18" s="61">
        <f t="shared" si="1"/>
        <v>3.3853976032272026E-4</v>
      </c>
      <c r="F18" s="13">
        <f t="shared" si="7"/>
        <v>99142.599822685603</v>
      </c>
      <c r="G18" s="13">
        <f t="shared" si="2"/>
        <v>33.563711981743353</v>
      </c>
      <c r="H18" s="13">
        <f>'2017 Life Table - Males'!C18</f>
        <v>99140.921875</v>
      </c>
      <c r="I18" s="13">
        <f>'2017 Life Table - Males'!E18</f>
        <v>99124</v>
      </c>
      <c r="J18" s="62">
        <f t="shared" si="3"/>
        <v>0.5</v>
      </c>
      <c r="K18" s="63">
        <f t="shared" si="4"/>
        <v>99125.81796669474</v>
      </c>
      <c r="L18" s="13">
        <f>'2017 Life Table - Males'!F18</f>
        <v>6220568.5</v>
      </c>
      <c r="M18" s="13">
        <f>SUM(K18:K$89)</f>
        <v>6274983.5684205834</v>
      </c>
      <c r="N18" s="64">
        <f>'2017 Life Table - Males'!G18</f>
        <v>62.744712829589844</v>
      </c>
      <c r="O18" s="65">
        <f t="shared" si="5"/>
        <v>63.292505740652921</v>
      </c>
      <c r="P18" s="66">
        <f t="shared" si="6"/>
        <v>200.08136076578882</v>
      </c>
    </row>
    <row r="19" spans="1:16" s="49" customFormat="1">
      <c r="A19" s="3" t="s">
        <v>31</v>
      </c>
      <c r="B19" s="11">
        <v>4.61328134406358E-4</v>
      </c>
      <c r="C19" s="60">
        <f>'Opioid Mortality - WONDER'!H17/100000</f>
        <v>2.8587641848305397E-6</v>
      </c>
      <c r="D19" s="11">
        <f t="shared" si="0"/>
        <v>4.5846937022152746E-4</v>
      </c>
      <c r="E19" s="61">
        <f t="shared" si="1"/>
        <v>4.5847002565080341E-4</v>
      </c>
      <c r="F19" s="13">
        <f t="shared" si="7"/>
        <v>99109.036110703863</v>
      </c>
      <c r="G19" s="13">
        <f t="shared" si="2"/>
        <v>45.438522327900799</v>
      </c>
      <c r="H19" s="13">
        <f>'2017 Life Table - Males'!C19</f>
        <v>99107.078125</v>
      </c>
      <c r="I19" s="13">
        <f>'2017 Life Table - Males'!E19</f>
        <v>99084.21875</v>
      </c>
      <c r="J19" s="62">
        <f t="shared" si="3"/>
        <v>0.5</v>
      </c>
      <c r="K19" s="63">
        <f t="shared" si="4"/>
        <v>99086.316849539915</v>
      </c>
      <c r="L19" s="13">
        <f>'2017 Life Table - Males'!F19</f>
        <v>6121444.5</v>
      </c>
      <c r="M19" s="13">
        <f>SUM(K19:K$89)</f>
        <v>6175857.7504538884</v>
      </c>
      <c r="N19" s="64">
        <f>'2017 Life Table - Males'!G19</f>
        <v>61.765968322753906</v>
      </c>
      <c r="O19" s="65">
        <f t="shared" si="5"/>
        <v>62.313770699530501</v>
      </c>
      <c r="P19" s="66">
        <f t="shared" si="6"/>
        <v>200.08481811765122</v>
      </c>
    </row>
    <row r="20" spans="1:16" s="49" customFormat="1">
      <c r="A20" s="3" t="s">
        <v>32</v>
      </c>
      <c r="B20" s="11">
        <v>5.8416114188730717E-4</v>
      </c>
      <c r="C20" s="60">
        <f>'Opioid Mortality - WONDER'!H18/100000</f>
        <v>4.6384147011770902E-6</v>
      </c>
      <c r="D20" s="11">
        <f t="shared" si="0"/>
        <v>5.7952272718613006E-4</v>
      </c>
      <c r="E20" s="61">
        <f t="shared" si="1"/>
        <v>5.7952407148331719E-4</v>
      </c>
      <c r="F20" s="13">
        <f t="shared" si="7"/>
        <v>99063.597588375967</v>
      </c>
      <c r="G20" s="13">
        <f t="shared" si="2"/>
        <v>57.409739410200565</v>
      </c>
      <c r="H20" s="13">
        <f>'2017 Life Table - Males'!C20</f>
        <v>99061.359375</v>
      </c>
      <c r="I20" s="13">
        <f>'2017 Life Table - Males'!E20</f>
        <v>99032.421875</v>
      </c>
      <c r="J20" s="62">
        <f t="shared" si="3"/>
        <v>0.50006750371270425</v>
      </c>
      <c r="K20" s="63">
        <f t="shared" si="4"/>
        <v>99034.888843300316</v>
      </c>
      <c r="L20" s="13">
        <f>'2017 Life Table - Males'!F20</f>
        <v>6022360</v>
      </c>
      <c r="M20" s="13">
        <f>SUM(K20:K$89)</f>
        <v>6076771.4336043485</v>
      </c>
      <c r="N20" s="64">
        <f>'2017 Life Table - Males'!G20</f>
        <v>60.794239044189453</v>
      </c>
      <c r="O20" s="65">
        <f t="shared" si="5"/>
        <v>61.342123459459252</v>
      </c>
      <c r="P20" s="66">
        <f t="shared" si="6"/>
        <v>200.11478267729402</v>
      </c>
    </row>
    <row r="21" spans="1:16" s="49" customFormat="1">
      <c r="A21" s="3" t="s">
        <v>33</v>
      </c>
      <c r="B21" s="11">
        <v>7.1757868863642216E-4</v>
      </c>
      <c r="C21" s="60">
        <f>'Opioid Mortality - WONDER'!H19/100000</f>
        <v>1.6833999999999998E-5</v>
      </c>
      <c r="D21" s="11">
        <f t="shared" si="0"/>
        <v>7.0074468863642219E-4</v>
      </c>
      <c r="E21" s="61">
        <f t="shared" si="1"/>
        <v>7.0075058824892178E-4</v>
      </c>
      <c r="F21" s="13">
        <f t="shared" si="7"/>
        <v>99006.187848965768</v>
      </c>
      <c r="G21" s="13">
        <f t="shared" si="2"/>
        <v>69.378644375446015</v>
      </c>
      <c r="H21" s="13">
        <f>'2017 Life Table - Males'!C21</f>
        <v>99003.4921875</v>
      </c>
      <c r="I21" s="13">
        <f>'2017 Life Table - Males'!E21</f>
        <v>98967.96875</v>
      </c>
      <c r="J21" s="62">
        <f t="shared" si="3"/>
        <v>0.50005498735290888</v>
      </c>
      <c r="K21" s="63">
        <f t="shared" si="4"/>
        <v>98971.494711830048</v>
      </c>
      <c r="L21" s="13">
        <f>'2017 Life Table - Males'!F21</f>
        <v>5923328</v>
      </c>
      <c r="M21" s="13">
        <f>SUM(K21:K$89)</f>
        <v>5977736.5447610477</v>
      </c>
      <c r="N21" s="64">
        <f>'2017 Life Table - Males'!G21</f>
        <v>59.829486846923828</v>
      </c>
      <c r="O21" s="65">
        <f t="shared" si="5"/>
        <v>60.377403419270138</v>
      </c>
      <c r="P21" s="66">
        <f t="shared" si="6"/>
        <v>200.12652804948965</v>
      </c>
    </row>
    <row r="22" spans="1:16" s="49" customFormat="1">
      <c r="A22" s="3" t="s">
        <v>34</v>
      </c>
      <c r="B22" s="11">
        <v>8.5859786486253142E-4</v>
      </c>
      <c r="C22" s="60">
        <f>'Opioid Mortality - WONDER'!H20/100000</f>
        <v>4.2407000000000002E-5</v>
      </c>
      <c r="D22" s="11">
        <f t="shared" si="0"/>
        <v>8.1619086486253148E-4</v>
      </c>
      <c r="E22" s="61">
        <f t="shared" si="1"/>
        <v>8.1620817616545605E-4</v>
      </c>
      <c r="F22" s="13">
        <f t="shared" si="7"/>
        <v>98936.809204590318</v>
      </c>
      <c r="G22" s="13">
        <f t="shared" si="2"/>
        <v>80.753032596508362</v>
      </c>
      <c r="H22" s="13">
        <f>'2017 Life Table - Males'!C22</f>
        <v>98932.453125</v>
      </c>
      <c r="I22" s="13">
        <f>'2017 Life Table - Males'!E22</f>
        <v>98889.984375</v>
      </c>
      <c r="J22" s="62">
        <f t="shared" si="3"/>
        <v>0.49995401453140809</v>
      </c>
      <c r="K22" s="63">
        <f t="shared" si="4"/>
        <v>98896.43640175811</v>
      </c>
      <c r="L22" s="13">
        <f>'2017 Life Table - Males'!F22</f>
        <v>5824360</v>
      </c>
      <c r="M22" s="13">
        <f>SUM(K22:K$89)</f>
        <v>5878765.0500492174</v>
      </c>
      <c r="N22" s="64">
        <f>'2017 Life Table - Males'!G22</f>
        <v>58.872085571289062</v>
      </c>
      <c r="O22" s="65">
        <f t="shared" si="5"/>
        <v>59.419392006998983</v>
      </c>
      <c r="P22" s="66">
        <f t="shared" si="6"/>
        <v>199.90367564304844</v>
      </c>
    </row>
    <row r="23" spans="1:16" s="49" customFormat="1">
      <c r="A23" s="3" t="s">
        <v>35</v>
      </c>
      <c r="B23" s="11">
        <v>1.0014867875725031E-3</v>
      </c>
      <c r="C23" s="60">
        <f>'Opioid Mortality - WONDER'!H21/100000</f>
        <v>9.3185999999999999E-5</v>
      </c>
      <c r="D23" s="11">
        <f t="shared" si="0"/>
        <v>9.083007875725031E-4</v>
      </c>
      <c r="E23" s="61">
        <f t="shared" si="1"/>
        <v>9.0834312348153645E-4</v>
      </c>
      <c r="F23" s="13">
        <f t="shared" si="7"/>
        <v>98856.056171993812</v>
      </c>
      <c r="G23" s="13">
        <f t="shared" si="2"/>
        <v>89.795218838335074</v>
      </c>
      <c r="H23" s="13">
        <f>'2017 Life Table - Males'!C23</f>
        <v>98847.5078125</v>
      </c>
      <c r="I23" s="13">
        <f>'2017 Life Table - Males'!E23</f>
        <v>98798.015625</v>
      </c>
      <c r="J23" s="62">
        <f t="shared" si="3"/>
        <v>0.49996053981532634</v>
      </c>
      <c r="K23" s="63">
        <f t="shared" si="4"/>
        <v>98811.162105910553</v>
      </c>
      <c r="L23" s="13">
        <f>'2017 Life Table - Males'!F23</f>
        <v>5725470</v>
      </c>
      <c r="M23" s="13">
        <f>SUM(K23:K$89)</f>
        <v>5779868.6136474591</v>
      </c>
      <c r="N23" s="64">
        <f>'2017 Life Table - Males'!G23</f>
        <v>57.922248840332031</v>
      </c>
      <c r="O23" s="65">
        <f t="shared" si="5"/>
        <v>58.467521742839985</v>
      </c>
      <c r="P23" s="66">
        <f t="shared" si="6"/>
        <v>199.16092764103001</v>
      </c>
    </row>
    <row r="24" spans="1:16" s="49" customFormat="1">
      <c r="A24" s="3" t="s">
        <v>36</v>
      </c>
      <c r="B24" s="11">
        <v>1.1470711324363947E-3</v>
      </c>
      <c r="C24" s="60">
        <f>'Opioid Mortality - WONDER'!H22/100000</f>
        <v>1.3714900000000001E-4</v>
      </c>
      <c r="D24" s="11">
        <f t="shared" si="0"/>
        <v>1.0099221324363947E-3</v>
      </c>
      <c r="E24" s="61">
        <f t="shared" si="1"/>
        <v>1.0099914170058621E-3</v>
      </c>
      <c r="F24" s="13">
        <f t="shared" si="7"/>
        <v>98766.260953155477</v>
      </c>
      <c r="G24" s="13">
        <f t="shared" si="2"/>
        <v>99.753075852448248</v>
      </c>
      <c r="H24" s="13">
        <f>'2017 Life Table - Males'!C24</f>
        <v>98748.515625</v>
      </c>
      <c r="I24" s="13">
        <f>'2017 Life Table - Males'!E24</f>
        <v>98691.875</v>
      </c>
      <c r="J24" s="62">
        <f t="shared" si="3"/>
        <v>0.50003448513690596</v>
      </c>
      <c r="K24" s="63">
        <f t="shared" si="4"/>
        <v>98716.380975230772</v>
      </c>
      <c r="L24" s="13">
        <f>'2017 Life Table - Males'!F24</f>
        <v>5626672</v>
      </c>
      <c r="M24" s="13">
        <f>SUM(K24:K$89)</f>
        <v>5681057.4515415486</v>
      </c>
      <c r="N24" s="64">
        <f>'2017 Life Table - Males'!G24</f>
        <v>56.979812622070312</v>
      </c>
      <c r="O24" s="65">
        <f t="shared" si="5"/>
        <v>57.520223978470298</v>
      </c>
      <c r="P24" s="66">
        <f t="shared" si="6"/>
        <v>197.38524792509477</v>
      </c>
    </row>
    <row r="25" spans="1:16" s="49" customFormat="1">
      <c r="A25" s="3" t="s">
        <v>37</v>
      </c>
      <c r="B25" s="11">
        <v>1.2859423877671361E-3</v>
      </c>
      <c r="C25" s="60">
        <f>'Opioid Mortality - WONDER'!H23/100000</f>
        <v>1.6305499999999998E-4</v>
      </c>
      <c r="D25" s="11">
        <f t="shared" si="0"/>
        <v>1.122887387767136E-3</v>
      </c>
      <c r="E25" s="61">
        <f t="shared" si="1"/>
        <v>1.1229789782156718E-3</v>
      </c>
      <c r="F25" s="13">
        <f t="shared" si="7"/>
        <v>98666.507877303025</v>
      </c>
      <c r="G25" s="13">
        <f t="shared" si="2"/>
        <v>110.80041420016229</v>
      </c>
      <c r="H25" s="13">
        <f>'2017 Life Table - Males'!C25</f>
        <v>98635.2421875</v>
      </c>
      <c r="I25" s="13">
        <f>'2017 Life Table - Males'!E25</f>
        <v>98571.828125</v>
      </c>
      <c r="J25" s="62">
        <f t="shared" si="3"/>
        <v>0.49996920234062209</v>
      </c>
      <c r="K25" s="63">
        <f t="shared" si="4"/>
        <v>98611.111082596355</v>
      </c>
      <c r="L25" s="13">
        <f>'2017 Life Table - Males'!F25</f>
        <v>5527980</v>
      </c>
      <c r="M25" s="13">
        <f>SUM(K25:K$89)</f>
        <v>5582341.0705663171</v>
      </c>
      <c r="N25" s="64">
        <f>'2017 Life Table - Males'!G25</f>
        <v>56.044673919677734</v>
      </c>
      <c r="O25" s="65">
        <f t="shared" si="5"/>
        <v>56.577872174296985</v>
      </c>
      <c r="P25" s="66">
        <f t="shared" si="6"/>
        <v>194.75066249968128</v>
      </c>
    </row>
    <row r="26" spans="1:16" s="49" customFormat="1">
      <c r="A26" s="3" t="s">
        <v>38</v>
      </c>
      <c r="B26" s="11">
        <v>1.4028329169377685E-3</v>
      </c>
      <c r="C26" s="60">
        <f>'Opioid Mortality - WONDER'!H24/100000</f>
        <v>2.2113099999999998E-4</v>
      </c>
      <c r="D26" s="11">
        <f t="shared" si="0"/>
        <v>1.1817019169377684E-3</v>
      </c>
      <c r="E26" s="61">
        <f t="shared" si="1"/>
        <v>1.1818326431811688E-3</v>
      </c>
      <c r="F26" s="13">
        <f t="shared" si="7"/>
        <v>98555.707463102866</v>
      </c>
      <c r="G26" s="13">
        <f t="shared" si="2"/>
        <v>116.4763522517089</v>
      </c>
      <c r="H26" s="13">
        <f>'2017 Life Table - Males'!C26</f>
        <v>98508.40625</v>
      </c>
      <c r="I26" s="13">
        <f>'2017 Life Table - Males'!E26</f>
        <v>98439.3125</v>
      </c>
      <c r="J26" s="62">
        <f t="shared" si="3"/>
        <v>0.5</v>
      </c>
      <c r="K26" s="63">
        <f t="shared" si="4"/>
        <v>98497.469286977022</v>
      </c>
      <c r="L26" s="13">
        <f>'2017 Life Table - Males'!F26</f>
        <v>5429408</v>
      </c>
      <c r="M26" s="13">
        <f>SUM(K26:K$89)</f>
        <v>5483729.9594837204</v>
      </c>
      <c r="N26" s="64">
        <f>'2017 Life Table - Males'!G26</f>
        <v>55.116188049316406</v>
      </c>
      <c r="O26" s="65">
        <f t="shared" si="5"/>
        <v>55.64091720955593</v>
      </c>
      <c r="P26" s="66">
        <f t="shared" si="6"/>
        <v>191.65732577748602</v>
      </c>
    </row>
    <row r="27" spans="1:16" s="49" customFormat="1">
      <c r="A27" s="3" t="s">
        <v>39</v>
      </c>
      <c r="B27" s="11">
        <v>1.4899933012202382E-3</v>
      </c>
      <c r="C27" s="60">
        <f>'Opioid Mortality - WONDER'!H25/100000</f>
        <v>2.7686900000000001E-4</v>
      </c>
      <c r="D27" s="11">
        <f t="shared" si="0"/>
        <v>1.2131243012202383E-3</v>
      </c>
      <c r="E27" s="61">
        <f t="shared" si="1"/>
        <v>1.2132923384648997E-3</v>
      </c>
      <c r="F27" s="13">
        <f t="shared" si="7"/>
        <v>98439.231110851164</v>
      </c>
      <c r="G27" s="13">
        <f t="shared" si="2"/>
        <v>119.43556491117131</v>
      </c>
      <c r="H27" s="13">
        <f>'2017 Life Table - Males'!C27</f>
        <v>98370.21875</v>
      </c>
      <c r="I27" s="13">
        <f>'2017 Life Table - Males'!E27</f>
        <v>98296.9375</v>
      </c>
      <c r="J27" s="62">
        <f t="shared" si="3"/>
        <v>0.49997334896860507</v>
      </c>
      <c r="K27" s="63">
        <f t="shared" si="4"/>
        <v>98379.51651147657</v>
      </c>
      <c r="L27" s="13">
        <f>'2017 Life Table - Males'!F27</f>
        <v>5330969</v>
      </c>
      <c r="M27" s="13">
        <f>SUM(K27:K$89)</f>
        <v>5385232.490196744</v>
      </c>
      <c r="N27" s="64">
        <f>'2017 Life Table - Males'!G27</f>
        <v>54.192916870117188</v>
      </c>
      <c r="O27" s="65">
        <f t="shared" si="5"/>
        <v>54.706161653502782</v>
      </c>
      <c r="P27" s="66">
        <f t="shared" si="6"/>
        <v>187.46265713158851</v>
      </c>
    </row>
    <row r="28" spans="1:16" s="49" customFormat="1">
      <c r="A28" s="3" t="s">
        <v>40</v>
      </c>
      <c r="B28" s="11">
        <v>1.5538185834884644E-3</v>
      </c>
      <c r="C28" s="60">
        <f>'Opioid Mortality - WONDER'!H26/100000</f>
        <v>3.1032400000000001E-4</v>
      </c>
      <c r="D28" s="11">
        <f t="shared" si="0"/>
        <v>1.2434945834884643E-3</v>
      </c>
      <c r="E28" s="61">
        <f t="shared" si="1"/>
        <v>1.2436876465887758E-3</v>
      </c>
      <c r="F28" s="13">
        <f t="shared" si="7"/>
        <v>98319.795545939996</v>
      </c>
      <c r="G28" s="13">
        <f t="shared" si="2"/>
        <v>122.27911513561972</v>
      </c>
      <c r="H28" s="13">
        <f>'2017 Life Table - Males'!C28</f>
        <v>98223.6484375</v>
      </c>
      <c r="I28" s="13">
        <f>'2017 Life Table - Males'!E28</f>
        <v>98147.3359375</v>
      </c>
      <c r="J28" s="62">
        <f t="shared" si="3"/>
        <v>0.5</v>
      </c>
      <c r="K28" s="63">
        <f t="shared" si="4"/>
        <v>98258.655988372193</v>
      </c>
      <c r="L28" s="13">
        <f>'2017 Life Table - Males'!F28</f>
        <v>5232672</v>
      </c>
      <c r="M28" s="13">
        <f>SUM(K28:K$89)</f>
        <v>5286852.9736852674</v>
      </c>
      <c r="N28" s="64">
        <f>'2017 Life Table - Males'!G28</f>
        <v>53.273036956787109</v>
      </c>
      <c r="O28" s="65">
        <f t="shared" si="5"/>
        <v>53.772009434407146</v>
      </c>
      <c r="P28" s="66">
        <f t="shared" si="6"/>
        <v>182.2496974507182</v>
      </c>
    </row>
    <row r="29" spans="1:16" s="49" customFormat="1">
      <c r="A29" s="3" t="s">
        <v>41</v>
      </c>
      <c r="B29" s="11">
        <v>1.609192113392055E-3</v>
      </c>
      <c r="C29" s="60">
        <f>'Opioid Mortality - WONDER'!H27/100000</f>
        <v>3.2775700000000003E-4</v>
      </c>
      <c r="D29" s="11">
        <f t="shared" si="0"/>
        <v>1.2814351133920549E-3</v>
      </c>
      <c r="E29" s="61">
        <f t="shared" si="1"/>
        <v>1.2816452487628416E-3</v>
      </c>
      <c r="F29" s="13">
        <f t="shared" si="7"/>
        <v>98197.516430804375</v>
      </c>
      <c r="G29" s="13">
        <f t="shared" si="2"/>
        <v>125.8543803738515</v>
      </c>
      <c r="H29" s="13">
        <f>'2017 Life Table - Males'!C29</f>
        <v>98071.0234375</v>
      </c>
      <c r="I29" s="13">
        <f>'2017 Life Table - Males'!E29</f>
        <v>97992.1171875</v>
      </c>
      <c r="J29" s="62">
        <f t="shared" si="3"/>
        <v>0.5</v>
      </c>
      <c r="K29" s="63">
        <f t="shared" si="4"/>
        <v>98134.589240617439</v>
      </c>
      <c r="L29" s="13">
        <f>'2017 Life Table - Males'!F29</f>
        <v>5134524.5</v>
      </c>
      <c r="M29" s="13">
        <f>SUM(K29:K$89)</f>
        <v>5188594.3176968945</v>
      </c>
      <c r="N29" s="64">
        <f>'2017 Life Table - Males'!G29</f>
        <v>52.35516357421875</v>
      </c>
      <c r="O29" s="65">
        <f t="shared" si="5"/>
        <v>52.83834567601388</v>
      </c>
      <c r="P29" s="66">
        <f t="shared" si="6"/>
        <v>176.4822626806712</v>
      </c>
    </row>
    <row r="30" spans="1:16" s="49" customFormat="1">
      <c r="A30" s="3" t="s">
        <v>42</v>
      </c>
      <c r="B30" s="11">
        <v>1.6636601649224758E-3</v>
      </c>
      <c r="C30" s="60">
        <f>'Opioid Mortality - WONDER'!H28/100000</f>
        <v>3.7070799999999998E-4</v>
      </c>
      <c r="D30" s="11">
        <f t="shared" si="0"/>
        <v>1.2929521649224758E-3</v>
      </c>
      <c r="E30" s="61">
        <f t="shared" si="1"/>
        <v>1.2931919814431758E-3</v>
      </c>
      <c r="F30" s="13">
        <f t="shared" si="7"/>
        <v>98071.662050430517</v>
      </c>
      <c r="G30" s="13">
        <f t="shared" si="2"/>
        <v>126.82548697042175</v>
      </c>
      <c r="H30" s="13">
        <f>'2017 Life Table - Males'!C30</f>
        <v>97913.2109375</v>
      </c>
      <c r="I30" s="13">
        <f>'2017 Life Table - Males'!E30</f>
        <v>97831.765625</v>
      </c>
      <c r="J30" s="62">
        <f t="shared" si="3"/>
        <v>0.5</v>
      </c>
      <c r="K30" s="63">
        <f t="shared" si="4"/>
        <v>98008.249306945305</v>
      </c>
      <c r="L30" s="13">
        <f>'2017 Life Table - Males'!F30</f>
        <v>5036532.5</v>
      </c>
      <c r="M30" s="13">
        <f>SUM(K30:K$89)</f>
        <v>5090459.7284562774</v>
      </c>
      <c r="N30" s="64">
        <f>'2017 Life Table - Males'!G30</f>
        <v>51.438743591308594</v>
      </c>
      <c r="O30" s="65">
        <f t="shared" si="5"/>
        <v>51.905510950132118</v>
      </c>
      <c r="P30" s="66">
        <f t="shared" si="6"/>
        <v>170.48677781029235</v>
      </c>
    </row>
    <row r="31" spans="1:16" s="49" customFormat="1">
      <c r="A31" s="3" t="s">
        <v>43</v>
      </c>
      <c r="B31" s="11">
        <v>1.71330024022609E-3</v>
      </c>
      <c r="C31" s="60">
        <f>'Opioid Mortality - WONDER'!H29/100000</f>
        <v>4.0243699999999996E-4</v>
      </c>
      <c r="D31" s="11">
        <f t="shared" si="0"/>
        <v>1.3108632402260901E-3</v>
      </c>
      <c r="E31" s="61">
        <f t="shared" si="1"/>
        <v>1.3111271963618387E-3</v>
      </c>
      <c r="F31" s="13">
        <f t="shared" si="7"/>
        <v>97944.836563460092</v>
      </c>
      <c r="G31" s="13">
        <f t="shared" si="2"/>
        <v>128.41813896156793</v>
      </c>
      <c r="H31" s="13">
        <f>'2017 Life Table - Males'!C31</f>
        <v>97750.3203125</v>
      </c>
      <c r="I31" s="13">
        <f>'2017 Life Table - Males'!E31</f>
        <v>97666.578125</v>
      </c>
      <c r="J31" s="62">
        <f t="shared" si="3"/>
        <v>0.50002332415916406</v>
      </c>
      <c r="K31" s="63">
        <f t="shared" si="4"/>
        <v>97880.624498734192</v>
      </c>
      <c r="L31" s="13">
        <f>'2017 Life Table - Males'!F31</f>
        <v>4938700.5</v>
      </c>
      <c r="M31" s="13">
        <f>SUM(K31:K$89)</f>
        <v>4992451.4791493313</v>
      </c>
      <c r="N31" s="64">
        <f>'2017 Life Table - Males'!G31</f>
        <v>50.523624420166016</v>
      </c>
      <c r="O31" s="65">
        <f t="shared" si="5"/>
        <v>50.972074223786557</v>
      </c>
      <c r="P31" s="66">
        <f t="shared" si="6"/>
        <v>163.79629077240256</v>
      </c>
    </row>
    <row r="32" spans="1:16" s="49" customFormat="1">
      <c r="A32" s="3" t="s">
        <v>44</v>
      </c>
      <c r="B32" s="11">
        <v>1.7615470569580793E-3</v>
      </c>
      <c r="C32" s="60">
        <f>'Opioid Mortality - WONDER'!H30/100000</f>
        <v>4.23979E-4</v>
      </c>
      <c r="D32" s="11">
        <f t="shared" si="0"/>
        <v>1.3375680569580792E-3</v>
      </c>
      <c r="E32" s="61">
        <f t="shared" si="1"/>
        <v>1.3378518141147211E-3</v>
      </c>
      <c r="F32" s="13">
        <f t="shared" si="7"/>
        <v>97816.418424498523</v>
      </c>
      <c r="G32" s="13">
        <f t="shared" si="2"/>
        <v>130.86387283941997</v>
      </c>
      <c r="H32" s="13">
        <f>'2017 Life Table - Males'!C32</f>
        <v>97582.84375</v>
      </c>
      <c r="I32" s="13">
        <f>'2017 Life Table - Males'!E32</f>
        <v>97496.890625</v>
      </c>
      <c r="J32" s="62">
        <f t="shared" si="3"/>
        <v>0.50002272417397631</v>
      </c>
      <c r="K32" s="63">
        <f t="shared" si="4"/>
        <v>97750.983514305408</v>
      </c>
      <c r="L32" s="13">
        <f>'2017 Life Table - Males'!F32</f>
        <v>4841034</v>
      </c>
      <c r="M32" s="13">
        <f>SUM(K32:K$89)</f>
        <v>4894570.854650599</v>
      </c>
      <c r="N32" s="64">
        <f>'2017 Life Table - Males'!G32</f>
        <v>49.609477996826172</v>
      </c>
      <c r="O32" s="65">
        <f t="shared" si="5"/>
        <v>50.038336441735161</v>
      </c>
      <c r="P32" s="66">
        <f t="shared" si="6"/>
        <v>156.64054700300846</v>
      </c>
    </row>
    <row r="33" spans="1:16" s="49" customFormat="1">
      <c r="A33" s="3" t="s">
        <v>45</v>
      </c>
      <c r="B33" s="11">
        <v>1.81030691601336E-3</v>
      </c>
      <c r="C33" s="60">
        <f>'Opioid Mortality - WONDER'!H31/100000</f>
        <v>4.41335E-4</v>
      </c>
      <c r="D33" s="11">
        <f t="shared" si="0"/>
        <v>1.3689719160133601E-3</v>
      </c>
      <c r="E33" s="61">
        <f t="shared" si="1"/>
        <v>1.3692742305851935E-3</v>
      </c>
      <c r="F33" s="13">
        <f t="shared" si="7"/>
        <v>97685.554551659108</v>
      </c>
      <c r="G33" s="13">
        <f t="shared" si="2"/>
        <v>133.75831254801096</v>
      </c>
      <c r="H33" s="13">
        <f>'2017 Life Table - Males'!C33</f>
        <v>97410.9453125</v>
      </c>
      <c r="I33" s="13">
        <f>'2017 Life Table - Males'!E33</f>
        <v>97322.7734375</v>
      </c>
      <c r="J33" s="62">
        <f t="shared" si="3"/>
        <v>0.5</v>
      </c>
      <c r="K33" s="63">
        <f t="shared" si="4"/>
        <v>97618.6753953851</v>
      </c>
      <c r="L33" s="13">
        <f>'2017 Life Table - Males'!F33</f>
        <v>4743537</v>
      </c>
      <c r="M33" s="13">
        <f>SUM(K33:K$89)</f>
        <v>4796819.8711362937</v>
      </c>
      <c r="N33" s="64">
        <f>'2017 Life Table - Males'!G33</f>
        <v>48.696140289306641</v>
      </c>
      <c r="O33" s="65">
        <f t="shared" si="5"/>
        <v>49.104700210301708</v>
      </c>
      <c r="P33" s="66">
        <f t="shared" si="6"/>
        <v>149.22651114344831</v>
      </c>
    </row>
    <row r="34" spans="1:16" s="49" customFormat="1">
      <c r="A34" s="3" t="s">
        <v>46</v>
      </c>
      <c r="B34" s="11">
        <v>1.8587581580504775E-3</v>
      </c>
      <c r="C34" s="60">
        <f>'Opioid Mortality - WONDER'!H32/100000</f>
        <v>4.2122200000000001E-4</v>
      </c>
      <c r="D34" s="11">
        <f t="shared" si="0"/>
        <v>1.4375361580504775E-3</v>
      </c>
      <c r="E34" s="61">
        <f t="shared" si="1"/>
        <v>1.4378391493129472E-3</v>
      </c>
      <c r="F34" s="13">
        <f t="shared" si="7"/>
        <v>97551.796239111092</v>
      </c>
      <c r="G34" s="13">
        <f t="shared" si="2"/>
        <v>140.26379171839346</v>
      </c>
      <c r="H34" s="13">
        <f>'2017 Life Table - Males'!C34</f>
        <v>97234.6015625</v>
      </c>
      <c r="I34" s="13">
        <f>'2017 Life Table - Males'!E34</f>
        <v>97144.234375</v>
      </c>
      <c r="J34" s="62">
        <f t="shared" si="3"/>
        <v>0.5</v>
      </c>
      <c r="K34" s="63">
        <f t="shared" si="4"/>
        <v>97481.664343251905</v>
      </c>
      <c r="L34" s="13">
        <f>'2017 Life Table - Males'!F34</f>
        <v>4646214.5</v>
      </c>
      <c r="M34" s="13">
        <f>SUM(K34:K$89)</f>
        <v>4699201.1957409093</v>
      </c>
      <c r="N34" s="64">
        <f>'2017 Life Table - Males'!G34</f>
        <v>47.783550262451172</v>
      </c>
      <c r="O34" s="65">
        <f t="shared" si="5"/>
        <v>48.171344628269132</v>
      </c>
      <c r="P34" s="66">
        <f t="shared" si="6"/>
        <v>141.64189211501002</v>
      </c>
    </row>
    <row r="35" spans="1:16" s="49" customFormat="1">
      <c r="A35" s="3" t="s">
        <v>47</v>
      </c>
      <c r="B35" s="11">
        <v>1.9074579467996955E-3</v>
      </c>
      <c r="C35" s="60">
        <f>'Opioid Mortality - WONDER'!H33/100000</f>
        <v>4.3537200000000001E-4</v>
      </c>
      <c r="D35" s="11">
        <f t="shared" si="0"/>
        <v>1.4720859467996954E-3</v>
      </c>
      <c r="E35" s="61">
        <f t="shared" si="1"/>
        <v>1.4724066498226218E-3</v>
      </c>
      <c r="F35" s="13">
        <f t="shared" si="7"/>
        <v>97411.532447392703</v>
      </c>
      <c r="G35" s="13">
        <f t="shared" si="2"/>
        <v>143.42938814495312</v>
      </c>
      <c r="H35" s="13">
        <f>'2017 Life Table - Males'!C35</f>
        <v>97053.8671875</v>
      </c>
      <c r="I35" s="13">
        <f>'2017 Life Table - Males'!E35</f>
        <v>96961.3046875</v>
      </c>
      <c r="J35" s="62">
        <f t="shared" si="3"/>
        <v>0.5</v>
      </c>
      <c r="K35" s="63">
        <f t="shared" si="4"/>
        <v>97339.817753320225</v>
      </c>
      <c r="L35" s="13">
        <f>'2017 Life Table - Males'!F35</f>
        <v>4549070</v>
      </c>
      <c r="M35" s="13">
        <f>SUM(K35:K$89)</f>
        <v>4601719.5313976565</v>
      </c>
      <c r="N35" s="64">
        <f>'2017 Life Table - Males'!G35</f>
        <v>46.871601104736328</v>
      </c>
      <c r="O35" s="65">
        <f t="shared" si="5"/>
        <v>47.239987050638227</v>
      </c>
      <c r="P35" s="66">
        <f t="shared" si="6"/>
        <v>134.55296674066861</v>
      </c>
    </row>
    <row r="36" spans="1:16" s="49" customFormat="1">
      <c r="A36" s="3" t="s">
        <v>48</v>
      </c>
      <c r="B36" s="11">
        <v>1.9591974560171366E-3</v>
      </c>
      <c r="C36" s="60">
        <f>'Opioid Mortality - WONDER'!H34/100000</f>
        <v>4.52211E-4</v>
      </c>
      <c r="D36" s="11">
        <f t="shared" si="0"/>
        <v>1.5069864560171365E-3</v>
      </c>
      <c r="E36" s="61">
        <f t="shared" si="1"/>
        <v>1.5073274681289828E-3</v>
      </c>
      <c r="F36" s="13">
        <f t="shared" si="7"/>
        <v>97268.103059247747</v>
      </c>
      <c r="G36" s="13">
        <f t="shared" si="2"/>
        <v>146.61488351400487</v>
      </c>
      <c r="H36" s="13">
        <f>'2017 Life Table - Males'!C36</f>
        <v>96868.7421875</v>
      </c>
      <c r="I36" s="13">
        <f>'2017 Life Table - Males'!E36</f>
        <v>96773.8515625</v>
      </c>
      <c r="J36" s="62">
        <f t="shared" si="3"/>
        <v>0.5</v>
      </c>
      <c r="K36" s="63">
        <f t="shared" si="4"/>
        <v>97194.795617490745</v>
      </c>
      <c r="L36" s="13">
        <f>'2017 Life Table - Males'!F36</f>
        <v>4452109</v>
      </c>
      <c r="M36" s="13">
        <f>SUM(K36:K$89)</f>
        <v>4504379.713644336</v>
      </c>
      <c r="N36" s="64">
        <f>'2017 Life Table - Males'!G36</f>
        <v>45.960224151611328</v>
      </c>
      <c r="O36" s="65">
        <f t="shared" si="5"/>
        <v>46.308908799225144</v>
      </c>
      <c r="P36" s="66">
        <f t="shared" si="6"/>
        <v>127.35706754094609</v>
      </c>
    </row>
    <row r="37" spans="1:16" s="49" customFormat="1">
      <c r="A37" s="3" t="s">
        <v>49</v>
      </c>
      <c r="B37" s="11">
        <v>2.014129189774394E-3</v>
      </c>
      <c r="C37" s="60">
        <f>'Opioid Mortality - WONDER'!H35/100000</f>
        <v>4.6215299999999998E-4</v>
      </c>
      <c r="D37" s="11">
        <f t="shared" si="0"/>
        <v>1.5519761897743942E-3</v>
      </c>
      <c r="E37" s="61">
        <f t="shared" si="1"/>
        <v>1.552335111352221E-3</v>
      </c>
      <c r="F37" s="13">
        <f t="shared" si="7"/>
        <v>97121.488175733743</v>
      </c>
      <c r="G37" s="13">
        <f t="shared" si="2"/>
        <v>150.76509616197106</v>
      </c>
      <c r="H37" s="13">
        <f>'2017 Life Table - Males'!C37</f>
        <v>96678.9609375</v>
      </c>
      <c r="I37" s="13">
        <f>'2017 Life Table - Males'!E37</f>
        <v>96581.59375</v>
      </c>
      <c r="J37" s="62">
        <f t="shared" si="3"/>
        <v>0.50002006018054157</v>
      </c>
      <c r="K37" s="63">
        <f t="shared" si="4"/>
        <v>97046.102603277715</v>
      </c>
      <c r="L37" s="13">
        <f>'2017 Life Table - Males'!F37</f>
        <v>4355335</v>
      </c>
      <c r="M37" s="13">
        <f>SUM(K37:K$89)</f>
        <v>4407184.9180268459</v>
      </c>
      <c r="N37" s="64">
        <f>'2017 Life Table - Males'!G37</f>
        <v>45.049461364746094</v>
      </c>
      <c r="O37" s="65">
        <f t="shared" si="5"/>
        <v>45.378062062356264</v>
      </c>
      <c r="P37" s="66">
        <f t="shared" si="6"/>
        <v>120.0214048021147</v>
      </c>
    </row>
    <row r="38" spans="1:16" s="49" customFormat="1">
      <c r="A38" s="3" t="s">
        <v>50</v>
      </c>
      <c r="B38" s="11">
        <v>2.0716269500553608E-3</v>
      </c>
      <c r="C38" s="60">
        <f>'Opioid Mortality - WONDER'!H36/100000</f>
        <v>4.4713700000000001E-4</v>
      </c>
      <c r="D38" s="11">
        <f t="shared" si="0"/>
        <v>1.6244899500553608E-3</v>
      </c>
      <c r="E38" s="61">
        <f t="shared" si="1"/>
        <v>1.6248534401127612E-3</v>
      </c>
      <c r="F38" s="13">
        <f t="shared" si="7"/>
        <v>96970.723079571777</v>
      </c>
      <c r="G38" s="13">
        <f t="shared" si="2"/>
        <v>157.56321298606414</v>
      </c>
      <c r="H38" s="13">
        <f>'2017 Life Table - Males'!C38</f>
        <v>96484.234375</v>
      </c>
      <c r="I38" s="13">
        <f>'2017 Life Table - Males'!E38</f>
        <v>96384.296875</v>
      </c>
      <c r="J38" s="62">
        <f t="shared" si="3"/>
        <v>0.49998045729919877</v>
      </c>
      <c r="K38" s="63">
        <f t="shared" si="4"/>
        <v>96891.944552289468</v>
      </c>
      <c r="L38" s="13">
        <f>'2017 Life Table - Males'!F38</f>
        <v>4258753.5</v>
      </c>
      <c r="M38" s="13">
        <f>SUM(K38:K$89)</f>
        <v>4310138.8154235678</v>
      </c>
      <c r="N38" s="64">
        <f>'2017 Life Table - Males'!G38</f>
        <v>44.139369964599609</v>
      </c>
      <c r="O38" s="65">
        <f t="shared" si="5"/>
        <v>44.447836197805543</v>
      </c>
      <c r="P38" s="66">
        <f t="shared" si="6"/>
        <v>112.66729167846732</v>
      </c>
    </row>
    <row r="39" spans="1:16" s="49" customFormat="1">
      <c r="A39" s="3" t="s">
        <v>51</v>
      </c>
      <c r="B39" s="11">
        <v>2.1390151232481003E-3</v>
      </c>
      <c r="C39" s="60">
        <f>'Opioid Mortality - WONDER'!H37/100000</f>
        <v>4.5061599999999998E-4</v>
      </c>
      <c r="D39" s="11">
        <f t="shared" si="0"/>
        <v>1.6883991232481002E-3</v>
      </c>
      <c r="E39" s="61">
        <f t="shared" si="1"/>
        <v>1.6887798618402394E-3</v>
      </c>
      <c r="F39" s="13">
        <f t="shared" si="7"/>
        <v>96813.159866585716</v>
      </c>
      <c r="G39" s="13">
        <f t="shared" si="2"/>
        <v>163.49611474380964</v>
      </c>
      <c r="H39" s="13">
        <f>'2017 Life Table - Males'!C39</f>
        <v>96284.3515625</v>
      </c>
      <c r="I39" s="13">
        <f>'2017 Life Table - Males'!E39</f>
        <v>96181.375</v>
      </c>
      <c r="J39" s="62">
        <f t="shared" si="3"/>
        <v>0.5</v>
      </c>
      <c r="K39" s="63">
        <f t="shared" si="4"/>
        <v>96731.411809213809</v>
      </c>
      <c r="L39" s="13">
        <f>'2017 Life Table - Males'!F39</f>
        <v>4162369.25</v>
      </c>
      <c r="M39" s="13">
        <f>SUM(K39:K$89)</f>
        <v>4213246.8708712785</v>
      </c>
      <c r="N39" s="64">
        <f>'2017 Life Table - Males'!G39</f>
        <v>43.229965209960938</v>
      </c>
      <c r="O39" s="65">
        <f t="shared" si="5"/>
        <v>43.519361176490705</v>
      </c>
      <c r="P39" s="66">
        <f t="shared" si="6"/>
        <v>105.70187677499746</v>
      </c>
    </row>
    <row r="40" spans="1:16" s="49" customFormat="1">
      <c r="A40" s="3" t="s">
        <v>52</v>
      </c>
      <c r="B40" s="11">
        <v>2.2113339509814978E-3</v>
      </c>
      <c r="C40" s="60">
        <f>'Opioid Mortality - WONDER'!H38/100000</f>
        <v>4.3592199999999999E-4</v>
      </c>
      <c r="D40" s="11">
        <f t="shared" si="0"/>
        <v>1.7754119509814977E-3</v>
      </c>
      <c r="E40" s="61">
        <f t="shared" si="1"/>
        <v>1.7757992634311881E-3</v>
      </c>
      <c r="F40" s="13">
        <f t="shared" si="7"/>
        <v>96649.663751841901</v>
      </c>
      <c r="G40" s="13">
        <f t="shared" si="2"/>
        <v>171.63040170139286</v>
      </c>
      <c r="H40" s="13">
        <f>'2017 Life Table - Males'!C40</f>
        <v>96078.3984375</v>
      </c>
      <c r="I40" s="13">
        <f>'2017 Life Table - Males'!E40</f>
        <v>95972.171875</v>
      </c>
      <c r="J40" s="62">
        <f t="shared" si="3"/>
        <v>0.49998161426732857</v>
      </c>
      <c r="K40" s="63">
        <f t="shared" si="4"/>
        <v>96563.851706541886</v>
      </c>
      <c r="L40" s="13">
        <f>'2017 Life Table - Males'!F40</f>
        <v>4066187.75</v>
      </c>
      <c r="M40" s="13">
        <f>SUM(K40:K$89)</f>
        <v>4116515.4590620645</v>
      </c>
      <c r="N40" s="64">
        <f>'2017 Life Table - Males'!G40</f>
        <v>42.321559906005859</v>
      </c>
      <c r="O40" s="65">
        <f t="shared" si="5"/>
        <v>42.592134305108893</v>
      </c>
      <c r="P40" s="66">
        <f t="shared" si="6"/>
        <v>98.827299272382859</v>
      </c>
    </row>
    <row r="41" spans="1:16" s="49" customFormat="1">
      <c r="A41" s="3" t="s">
        <v>53</v>
      </c>
      <c r="B41" s="11">
        <v>2.2768150083720684E-3</v>
      </c>
      <c r="C41" s="60">
        <f>'Opioid Mortality - WONDER'!H39/100000</f>
        <v>4.0196300000000003E-4</v>
      </c>
      <c r="D41" s="11">
        <f t="shared" si="0"/>
        <v>1.8748520083720684E-3</v>
      </c>
      <c r="E41" s="61">
        <f t="shared" si="1"/>
        <v>1.8752291558223888E-3</v>
      </c>
      <c r="F41" s="13">
        <f t="shared" si="7"/>
        <v>96478.033350140511</v>
      </c>
      <c r="G41" s="13">
        <f t="shared" si="2"/>
        <v>180.91842103458828</v>
      </c>
      <c r="H41" s="13">
        <f>'2017 Life Table - Males'!C41</f>
        <v>95865.9375</v>
      </c>
      <c r="I41" s="13">
        <f>'2017 Life Table - Males'!E41</f>
        <v>95756.8046875</v>
      </c>
      <c r="J41" s="62">
        <f t="shared" si="3"/>
        <v>0.5</v>
      </c>
      <c r="K41" s="63">
        <f t="shared" si="4"/>
        <v>96387.574139623219</v>
      </c>
      <c r="L41" s="13">
        <f>'2017 Life Table - Males'!F41</f>
        <v>3970215.5</v>
      </c>
      <c r="M41" s="13">
        <f>SUM(K41:K$89)</f>
        <v>4019951.6073555225</v>
      </c>
      <c r="N41" s="64">
        <f>'2017 Life Table - Males'!G41</f>
        <v>41.41424560546875</v>
      </c>
      <c r="O41" s="65">
        <f t="shared" si="5"/>
        <v>41.667014425617623</v>
      </c>
      <c r="P41" s="66">
        <f t="shared" si="6"/>
        <v>92.323811559375827</v>
      </c>
    </row>
    <row r="42" spans="1:16" s="49" customFormat="1">
      <c r="A42" s="3" t="s">
        <v>54</v>
      </c>
      <c r="B42" s="11">
        <v>2.3329313844442368E-3</v>
      </c>
      <c r="C42" s="60">
        <f>'Opioid Mortality - WONDER'!H40/100000</f>
        <v>4.0162999999999999E-4</v>
      </c>
      <c r="D42" s="11">
        <f t="shared" si="0"/>
        <v>1.9313013844442367E-3</v>
      </c>
      <c r="E42" s="61">
        <f t="shared" si="1"/>
        <v>1.9316895726991801E-3</v>
      </c>
      <c r="F42" s="13">
        <f t="shared" si="7"/>
        <v>96297.114929105926</v>
      </c>
      <c r="G42" s="13">
        <f t="shared" si="2"/>
        <v>186.01613278956847</v>
      </c>
      <c r="H42" s="13">
        <f>'2017 Life Table - Males'!C42</f>
        <v>95647.671875</v>
      </c>
      <c r="I42" s="13">
        <f>'2017 Life Table - Males'!E42</f>
        <v>95536.1015625</v>
      </c>
      <c r="J42" s="62">
        <f t="shared" si="3"/>
        <v>0.5</v>
      </c>
      <c r="K42" s="63">
        <f t="shared" si="4"/>
        <v>96204.106862711138</v>
      </c>
      <c r="L42" s="13">
        <f>'2017 Life Table - Males'!F42</f>
        <v>3874458.75</v>
      </c>
      <c r="M42" s="13">
        <f>SUM(K42:K$89)</f>
        <v>3923564.0332158995</v>
      </c>
      <c r="N42" s="64">
        <f>'2017 Life Table - Males'!G42</f>
        <v>40.507610321044922</v>
      </c>
      <c r="O42" s="65">
        <f t="shared" si="5"/>
        <v>40.744357046464302</v>
      </c>
      <c r="P42" s="66">
        <f t="shared" si="6"/>
        <v>86.471741459428472</v>
      </c>
    </row>
    <row r="43" spans="1:16" s="49" customFormat="1">
      <c r="A43" s="3" t="s">
        <v>55</v>
      </c>
      <c r="B43" s="11">
        <v>2.3898361250758171E-3</v>
      </c>
      <c r="C43" s="60">
        <f>'Opioid Mortality - WONDER'!H41/100000</f>
        <v>4.0736400000000001E-4</v>
      </c>
      <c r="D43" s="11">
        <f t="shared" si="0"/>
        <v>1.9824721250758172E-3</v>
      </c>
      <c r="E43" s="61">
        <f t="shared" si="1"/>
        <v>1.9828762959496204E-3</v>
      </c>
      <c r="F43" s="13">
        <f t="shared" si="7"/>
        <v>96111.098796316364</v>
      </c>
      <c r="G43" s="13">
        <f t="shared" si="2"/>
        <v>190.57641958088783</v>
      </c>
      <c r="H43" s="13">
        <f>'2017 Life Table - Males'!C43</f>
        <v>95424.53125</v>
      </c>
      <c r="I43" s="13">
        <f>'2017 Life Table - Males'!E43</f>
        <v>95310.5078125</v>
      </c>
      <c r="J43" s="62">
        <f t="shared" si="3"/>
        <v>0.5</v>
      </c>
      <c r="K43" s="63">
        <f t="shared" si="4"/>
        <v>96015.810586525913</v>
      </c>
      <c r="L43" s="13">
        <f>'2017 Life Table - Males'!F43</f>
        <v>3778922.75</v>
      </c>
      <c r="M43" s="13">
        <f>SUM(K43:K$89)</f>
        <v>3827359.9263531878</v>
      </c>
      <c r="N43" s="64">
        <f>'2017 Life Table - Males'!G43</f>
        <v>39.601165771484375</v>
      </c>
      <c r="O43" s="65">
        <f t="shared" si="5"/>
        <v>39.822247110755939</v>
      </c>
      <c r="P43" s="66">
        <f t="shared" si="6"/>
        <v>80.749959168938602</v>
      </c>
    </row>
    <row r="44" spans="1:16" s="49" customFormat="1">
      <c r="A44" s="3" t="s">
        <v>56</v>
      </c>
      <c r="B44" s="11">
        <v>2.4626462254673243E-3</v>
      </c>
      <c r="C44" s="60">
        <f>'Opioid Mortality - WONDER'!H42/100000</f>
        <v>3.6166400000000004E-4</v>
      </c>
      <c r="D44" s="11">
        <f t="shared" si="0"/>
        <v>2.100982225467324E-3</v>
      </c>
      <c r="E44" s="61">
        <f t="shared" si="1"/>
        <v>2.1013625084337351E-3</v>
      </c>
      <c r="F44" s="13">
        <f t="shared" si="7"/>
        <v>95920.522376735476</v>
      </c>
      <c r="G44" s="13">
        <f t="shared" si="2"/>
        <v>201.56378951185107</v>
      </c>
      <c r="H44" s="13">
        <f>'2017 Life Table - Males'!C44</f>
        <v>95196.484375</v>
      </c>
      <c r="I44" s="13">
        <f>'2017 Life Table - Males'!E44</f>
        <v>95079.265625</v>
      </c>
      <c r="J44" s="62">
        <f t="shared" si="3"/>
        <v>0.5</v>
      </c>
      <c r="K44" s="63">
        <f t="shared" si="4"/>
        <v>95819.740481979548</v>
      </c>
      <c r="L44" s="13">
        <f>'2017 Life Table - Males'!F44</f>
        <v>3683612.25</v>
      </c>
      <c r="M44" s="13">
        <f>SUM(K44:K$89)</f>
        <v>3731344.1157666617</v>
      </c>
      <c r="N44" s="64">
        <f>'2017 Life Table - Males'!G44</f>
        <v>38.694835662841797</v>
      </c>
      <c r="O44" s="65">
        <f t="shared" si="5"/>
        <v>38.900373176779745</v>
      </c>
      <c r="P44" s="66">
        <f t="shared" si="6"/>
        <v>75.072576965835452</v>
      </c>
    </row>
    <row r="45" spans="1:16" s="49" customFormat="1">
      <c r="A45" s="3" t="s">
        <v>57</v>
      </c>
      <c r="B45" s="11">
        <v>2.5655240751802921E-3</v>
      </c>
      <c r="C45" s="60">
        <f>'Opioid Mortality - WONDER'!H43/100000</f>
        <v>3.7207000000000001E-4</v>
      </c>
      <c r="D45" s="11">
        <f t="shared" si="0"/>
        <v>2.1934540751802922E-3</v>
      </c>
      <c r="E45" s="61">
        <f t="shared" si="1"/>
        <v>2.1938625345305773E-3</v>
      </c>
      <c r="F45" s="13">
        <f t="shared" si="7"/>
        <v>95718.95858722362</v>
      </c>
      <c r="G45" s="13">
        <f t="shared" si="2"/>
        <v>209.9942370887938</v>
      </c>
      <c r="H45" s="13">
        <f>'2017 Life Table - Males'!C45</f>
        <v>94962.046875</v>
      </c>
      <c r="I45" s="13">
        <f>'2017 Life Table - Males'!E45</f>
        <v>94840.234375</v>
      </c>
      <c r="J45" s="62">
        <f t="shared" si="3"/>
        <v>0.5</v>
      </c>
      <c r="K45" s="63">
        <f t="shared" si="4"/>
        <v>95613.961468679219</v>
      </c>
      <c r="L45" s="13">
        <f>'2017 Life Table - Males'!F45</f>
        <v>3588533</v>
      </c>
      <c r="M45" s="13">
        <f>SUM(K45:K$89)</f>
        <v>3635524.3752846825</v>
      </c>
      <c r="N45" s="64">
        <f>'2017 Life Table - Males'!G45</f>
        <v>37.789127349853516</v>
      </c>
      <c r="O45" s="65">
        <f t="shared" si="5"/>
        <v>37.981236203816628</v>
      </c>
      <c r="P45" s="66">
        <f t="shared" si="6"/>
        <v>70.167758910026961</v>
      </c>
    </row>
    <row r="46" spans="1:16" s="49" customFormat="1">
      <c r="A46" s="3" t="s">
        <v>58</v>
      </c>
      <c r="B46" s="11">
        <v>2.7009788900613785E-3</v>
      </c>
      <c r="C46" s="60">
        <f>'Opioid Mortality - WONDER'!H44/100000</f>
        <v>3.2955899999999999E-4</v>
      </c>
      <c r="D46" s="11">
        <f t="shared" si="0"/>
        <v>2.3714198900613784E-3</v>
      </c>
      <c r="E46" s="61">
        <f t="shared" si="1"/>
        <v>2.3718110467507714E-3</v>
      </c>
      <c r="F46" s="13">
        <f t="shared" si="7"/>
        <v>95508.964350134833</v>
      </c>
      <c r="G46" s="13">
        <f t="shared" si="2"/>
        <v>226.52921670937539</v>
      </c>
      <c r="H46" s="13">
        <f>'2017 Life Table - Males'!C46</f>
        <v>94718.421875</v>
      </c>
      <c r="I46" s="13">
        <f>'2017 Life Table - Males'!E46</f>
        <v>94590.5</v>
      </c>
      <c r="J46" s="62">
        <f t="shared" si="3"/>
        <v>0.50001526857422052</v>
      </c>
      <c r="K46" s="63">
        <f t="shared" si="4"/>
        <v>95395.696283001991</v>
      </c>
      <c r="L46" s="13">
        <f>'2017 Life Table - Males'!F46</f>
        <v>3493692.75</v>
      </c>
      <c r="M46" s="13">
        <f>SUM(K46:K$89)</f>
        <v>3539910.4138160036</v>
      </c>
      <c r="N46" s="64">
        <f>'2017 Life Table - Males'!G46</f>
        <v>36.885040283203125</v>
      </c>
      <c r="O46" s="65">
        <f t="shared" si="5"/>
        <v>37.063645678731582</v>
      </c>
      <c r="P46" s="66">
        <f t="shared" si="6"/>
        <v>65.235620716769006</v>
      </c>
    </row>
    <row r="47" spans="1:16" s="49" customFormat="1">
      <c r="A47" s="3" t="s">
        <v>59</v>
      </c>
      <c r="B47" s="11">
        <v>2.8696933295577765E-3</v>
      </c>
      <c r="C47" s="60">
        <f>'Opioid Mortality - WONDER'!H45/100000</f>
        <v>3.26705E-4</v>
      </c>
      <c r="D47" s="11">
        <f t="shared" si="0"/>
        <v>2.5429883295577764E-3</v>
      </c>
      <c r="E47" s="61">
        <f t="shared" si="1"/>
        <v>2.5434041763297E-3</v>
      </c>
      <c r="F47" s="13">
        <f t="shared" si="7"/>
        <v>95282.435133425461</v>
      </c>
      <c r="G47" s="13">
        <f t="shared" si="2"/>
        <v>242.34174344921806</v>
      </c>
      <c r="H47" s="13">
        <f>'2017 Life Table - Males'!C47</f>
        <v>94462.5859375</v>
      </c>
      <c r="I47" s="13">
        <f>'2017 Life Table - Males'!E47</f>
        <v>94327.046875</v>
      </c>
      <c r="J47" s="62">
        <f t="shared" si="3"/>
        <v>0.5</v>
      </c>
      <c r="K47" s="63">
        <f t="shared" si="4"/>
        <v>95161.264261700853</v>
      </c>
      <c r="L47" s="13">
        <f>'2017 Life Table - Males'!F47</f>
        <v>3399102.25</v>
      </c>
      <c r="M47" s="13">
        <f>SUM(K47:K$89)</f>
        <v>3444514.7175330012</v>
      </c>
      <c r="N47" s="64">
        <f>'2017 Life Table - Males'!G47</f>
        <v>35.98358154296875</v>
      </c>
      <c r="O47" s="65">
        <f t="shared" si="5"/>
        <v>36.150573951112754</v>
      </c>
      <c r="P47" s="66">
        <f t="shared" si="6"/>
        <v>60.993977074597609</v>
      </c>
    </row>
    <row r="48" spans="1:16" s="49" customFormat="1">
      <c r="A48" s="3" t="s">
        <v>60</v>
      </c>
      <c r="B48" s="11">
        <v>3.0660501215606928E-3</v>
      </c>
      <c r="C48" s="60">
        <f>'Opioid Mortality - WONDER'!H46/100000</f>
        <v>3.0456600000000004E-4</v>
      </c>
      <c r="D48" s="11">
        <f t="shared" si="0"/>
        <v>2.7614841215606927E-3</v>
      </c>
      <c r="E48" s="61">
        <f t="shared" si="1"/>
        <v>2.7619051218873425E-3</v>
      </c>
      <c r="F48" s="13">
        <f t="shared" si="7"/>
        <v>95040.093389976246</v>
      </c>
      <c r="G48" s="13">
        <f t="shared" si="2"/>
        <v>262.49172071842673</v>
      </c>
      <c r="H48" s="13">
        <f>'2017 Life Table - Males'!C48</f>
        <v>94191.5078125</v>
      </c>
      <c r="I48" s="13">
        <f>'2017 Life Table - Males'!E48</f>
        <v>94047.109375</v>
      </c>
      <c r="J48" s="62">
        <f t="shared" si="3"/>
        <v>0.5</v>
      </c>
      <c r="K48" s="63">
        <f t="shared" si="4"/>
        <v>94908.847529617022</v>
      </c>
      <c r="L48" s="13">
        <f>'2017 Life Table - Males'!F48</f>
        <v>3304775.25</v>
      </c>
      <c r="M48" s="13">
        <f>SUM(K48:K$89)</f>
        <v>3349353.453271301</v>
      </c>
      <c r="N48" s="64">
        <f>'2017 Life Table - Males'!G48</f>
        <v>35.085700988769531</v>
      </c>
      <c r="O48" s="65">
        <f t="shared" si="5"/>
        <v>35.241478978013639</v>
      </c>
      <c r="P48" s="66">
        <f t="shared" si="6"/>
        <v>56.897910571410293</v>
      </c>
    </row>
    <row r="49" spans="1:16" s="49" customFormat="1">
      <c r="A49" s="3" t="s">
        <v>61</v>
      </c>
      <c r="B49" s="11">
        <v>3.2801120541989803E-3</v>
      </c>
      <c r="C49" s="60">
        <f>'Opioid Mortality - WONDER'!H47/100000</f>
        <v>3.3085999999999999E-4</v>
      </c>
      <c r="D49" s="11">
        <f t="shared" si="0"/>
        <v>2.9492520541989802E-3</v>
      </c>
      <c r="E49" s="61">
        <f t="shared" si="1"/>
        <v>2.9497405372381769E-3</v>
      </c>
      <c r="F49" s="13">
        <f t="shared" si="7"/>
        <v>94777.601669257812</v>
      </c>
      <c r="G49" s="13">
        <f t="shared" si="2"/>
        <v>279.56933366602249</v>
      </c>
      <c r="H49" s="13">
        <f>'2017 Life Table - Males'!C49</f>
        <v>93902.7109375</v>
      </c>
      <c r="I49" s="13">
        <f>'2017 Life Table - Males'!E49</f>
        <v>93748.703125</v>
      </c>
      <c r="J49" s="62">
        <f t="shared" si="3"/>
        <v>0.50001268230818008</v>
      </c>
      <c r="K49" s="63">
        <f t="shared" si="4"/>
        <v>94637.813456840362</v>
      </c>
      <c r="L49" s="13">
        <f>'2017 Life Table - Males'!F49</f>
        <v>3210728</v>
      </c>
      <c r="M49" s="13">
        <f>SUM(K49:K$89)</f>
        <v>3254444.6057416839</v>
      </c>
      <c r="N49" s="64">
        <f>'2017 Life Table - Males'!G49</f>
        <v>34.192070007324219</v>
      </c>
      <c r="O49" s="65">
        <f t="shared" si="5"/>
        <v>34.337697392877793</v>
      </c>
      <c r="P49" s="66">
        <f t="shared" si="6"/>
        <v>53.190402573442952</v>
      </c>
    </row>
    <row r="50" spans="1:16" s="49" customFormat="1">
      <c r="A50" s="3" t="s">
        <v>62</v>
      </c>
      <c r="B50" s="11">
        <v>3.5201031714677811E-3</v>
      </c>
      <c r="C50" s="60">
        <f>'Opioid Mortality - WONDER'!H48/100000</f>
        <v>3.2011400000000003E-4</v>
      </c>
      <c r="D50" s="11">
        <f t="shared" si="0"/>
        <v>3.1999891714677813E-3</v>
      </c>
      <c r="E50" s="61">
        <f t="shared" si="1"/>
        <v>3.2005020089719283E-3</v>
      </c>
      <c r="F50" s="13">
        <f t="shared" si="7"/>
        <v>94498.032335591794</v>
      </c>
      <c r="G50" s="13">
        <f t="shared" si="2"/>
        <v>302.44114233395578</v>
      </c>
      <c r="H50" s="13">
        <f>'2017 Life Table - Males'!C50</f>
        <v>93594.703125</v>
      </c>
      <c r="I50" s="13">
        <f>'2017 Life Table - Males'!E50</f>
        <v>93429.96875</v>
      </c>
      <c r="J50" s="62">
        <f t="shared" si="3"/>
        <v>0.50001185648905644</v>
      </c>
      <c r="K50" s="63">
        <f t="shared" si="4"/>
        <v>94346.808178534717</v>
      </c>
      <c r="L50" s="13">
        <f>'2017 Life Table - Males'!F50</f>
        <v>3116979.25</v>
      </c>
      <c r="M50" s="13">
        <f>SUM(K50:K$89)</f>
        <v>3159806.792284843</v>
      </c>
      <c r="N50" s="64">
        <f>'2017 Life Table - Males'!G50</f>
        <v>33.302944183349609</v>
      </c>
      <c r="O50" s="65">
        <f t="shared" si="5"/>
        <v>33.437805149882806</v>
      </c>
      <c r="P50" s="66">
        <f t="shared" si="6"/>
        <v>49.257968026249969</v>
      </c>
    </row>
    <row r="51" spans="1:16" s="49" customFormat="1">
      <c r="A51" s="3" t="s">
        <v>63</v>
      </c>
      <c r="B51" s="11">
        <v>3.803920466452837E-3</v>
      </c>
      <c r="C51" s="60">
        <f>'Opioid Mortality - WONDER'!H49/100000</f>
        <v>3.3413800000000005E-4</v>
      </c>
      <c r="D51" s="11">
        <f t="shared" si="0"/>
        <v>3.4697824664528371E-3</v>
      </c>
      <c r="E51" s="61">
        <f t="shared" si="1"/>
        <v>3.4703629607323316E-3</v>
      </c>
      <c r="F51" s="13">
        <f t="shared" si="7"/>
        <v>94195.591193257831</v>
      </c>
      <c r="G51" s="13">
        <f t="shared" si="2"/>
        <v>326.89289074136661</v>
      </c>
      <c r="H51" s="13">
        <f>'2017 Life Table - Males'!C51</f>
        <v>93265.2421875</v>
      </c>
      <c r="I51" s="13">
        <f>'2017 Life Table - Males'!E51</f>
        <v>93087.859375</v>
      </c>
      <c r="J51" s="62">
        <f t="shared" si="3"/>
        <v>0.49998898945189491</v>
      </c>
      <c r="K51" s="63">
        <f t="shared" si="4"/>
        <v>94032.148347157039</v>
      </c>
      <c r="L51" s="13">
        <f>'2017 Life Table - Males'!F51</f>
        <v>3023549.25</v>
      </c>
      <c r="M51" s="13">
        <f>SUM(K51:K$89)</f>
        <v>3065459.9841063083</v>
      </c>
      <c r="N51" s="64">
        <f>'2017 Life Table - Males'!G51</f>
        <v>32.4188232421875</v>
      </c>
      <c r="O51" s="65">
        <f t="shared" si="5"/>
        <v>32.543561171743278</v>
      </c>
      <c r="P51" s="66">
        <f t="shared" si="6"/>
        <v>45.560528770247835</v>
      </c>
    </row>
    <row r="52" spans="1:16" s="49" customFormat="1">
      <c r="A52" s="3" t="s">
        <v>64</v>
      </c>
      <c r="B52" s="11">
        <v>4.1459756903350353E-3</v>
      </c>
      <c r="C52" s="60">
        <f>'Opioid Mortality - WONDER'!H50/100000</f>
        <v>3.04281E-4</v>
      </c>
      <c r="D52" s="11">
        <f t="shared" si="0"/>
        <v>3.8416946903350353E-3</v>
      </c>
      <c r="E52" s="61">
        <f t="shared" si="1"/>
        <v>3.8422800365788268E-3</v>
      </c>
      <c r="F52" s="13">
        <f t="shared" si="7"/>
        <v>93868.698302516466</v>
      </c>
      <c r="G52" s="13">
        <f t="shared" si="2"/>
        <v>360.6698255473998</v>
      </c>
      <c r="H52" s="13">
        <f>'2017 Life Table - Males'!C52</f>
        <v>92910.46875</v>
      </c>
      <c r="I52" s="13">
        <f>'2017 Life Table - Males'!E52</f>
        <v>92717.8671875</v>
      </c>
      <c r="J52" s="62">
        <f t="shared" si="3"/>
        <v>0.5</v>
      </c>
      <c r="K52" s="63">
        <f t="shared" si="4"/>
        <v>93688.363389742764</v>
      </c>
      <c r="L52" s="13">
        <f>'2017 Life Table - Males'!F52</f>
        <v>2930461.5</v>
      </c>
      <c r="M52" s="13">
        <f>SUM(K52:K$89)</f>
        <v>2971427.8357591513</v>
      </c>
      <c r="N52" s="64">
        <f>'2017 Life Table - Males'!G52</f>
        <v>31.540702819824219</v>
      </c>
      <c r="O52" s="65">
        <f t="shared" si="5"/>
        <v>31.655151179181658</v>
      </c>
      <c r="P52" s="66">
        <f t="shared" si="6"/>
        <v>41.80226325530468</v>
      </c>
    </row>
    <row r="53" spans="1:16" s="49" customFormat="1">
      <c r="A53" s="3" t="s">
        <v>65</v>
      </c>
      <c r="B53" s="11">
        <v>4.5468863099813461E-3</v>
      </c>
      <c r="C53" s="60">
        <f>'Opioid Mortality - WONDER'!H51/100000</f>
        <v>3.19375E-4</v>
      </c>
      <c r="D53" s="11">
        <f t="shared" si="0"/>
        <v>4.2275113099813459E-3</v>
      </c>
      <c r="E53" s="61">
        <f t="shared" si="1"/>
        <v>4.2281874883175474E-3</v>
      </c>
      <c r="F53" s="13">
        <f t="shared" si="7"/>
        <v>93508.028476969062</v>
      </c>
      <c r="G53" s="13">
        <f t="shared" si="2"/>
        <v>395.36947606356154</v>
      </c>
      <c r="H53" s="13">
        <f>'2017 Life Table - Males'!C53</f>
        <v>92525.265625</v>
      </c>
      <c r="I53" s="13">
        <f>'2017 Life Table - Males'!E53</f>
        <v>92314.9140625</v>
      </c>
      <c r="J53" s="62">
        <f t="shared" si="3"/>
        <v>0.5</v>
      </c>
      <c r="K53" s="63">
        <f t="shared" si="4"/>
        <v>93310.343738937285</v>
      </c>
      <c r="L53" s="13">
        <f>'2017 Life Table - Males'!F53</f>
        <v>2837743.75</v>
      </c>
      <c r="M53" s="13">
        <f>SUM(K53:K$89)</f>
        <v>2877739.4723694078</v>
      </c>
      <c r="N53" s="64">
        <f>'2017 Life Table - Males'!G53</f>
        <v>30.669933319091797</v>
      </c>
      <c r="O53" s="65">
        <f t="shared" si="5"/>
        <v>30.775319715763146</v>
      </c>
      <c r="P53" s="66">
        <f t="shared" si="6"/>
        <v>38.492381384210333</v>
      </c>
    </row>
    <row r="54" spans="1:16" s="49" customFormat="1">
      <c r="A54" s="3" t="s">
        <v>66</v>
      </c>
      <c r="B54" s="11">
        <v>4.9782963469624519E-3</v>
      </c>
      <c r="C54" s="60">
        <f>'Opioid Mortality - WONDER'!H52/100000</f>
        <v>3.0688600000000003E-4</v>
      </c>
      <c r="D54" s="11">
        <f t="shared" si="0"/>
        <v>4.6714103469624518E-3</v>
      </c>
      <c r="E54" s="61">
        <f t="shared" si="1"/>
        <v>4.6721284082281711E-3</v>
      </c>
      <c r="F54" s="13">
        <f t="shared" si="7"/>
        <v>93112.659000905507</v>
      </c>
      <c r="G54" s="13">
        <f t="shared" si="2"/>
        <v>435.03429928379313</v>
      </c>
      <c r="H54" s="13">
        <f>'2017 Life Table - Males'!C54</f>
        <v>92104.5625</v>
      </c>
      <c r="I54" s="13">
        <f>'2017 Life Table - Males'!E54</f>
        <v>91875.296875</v>
      </c>
      <c r="J54" s="62">
        <f t="shared" si="3"/>
        <v>0.50000851919374345</v>
      </c>
      <c r="K54" s="63">
        <f t="shared" si="4"/>
        <v>92895.138145122124</v>
      </c>
      <c r="L54" s="13">
        <f>'2017 Life Table - Males'!F54</f>
        <v>2745428.75</v>
      </c>
      <c r="M54" s="13">
        <f>SUM(K54:K$89)</f>
        <v>2784429.12863047</v>
      </c>
      <c r="N54" s="64">
        <f>'2017 Life Table - Males'!G54</f>
        <v>29.8077392578125</v>
      </c>
      <c r="O54" s="65">
        <f t="shared" si="5"/>
        <v>29.903872991140677</v>
      </c>
      <c r="P54" s="66">
        <f t="shared" si="6"/>
        <v>35.112846098116606</v>
      </c>
    </row>
    <row r="55" spans="1:16" s="49" customFormat="1">
      <c r="A55" s="3" t="s">
        <v>67</v>
      </c>
      <c r="B55" s="11">
        <v>5.4409313015639782E-3</v>
      </c>
      <c r="C55" s="60">
        <f>'Opioid Mortality - WONDER'!H53/100000</f>
        <v>3.2080599999999998E-4</v>
      </c>
      <c r="D55" s="11">
        <f t="shared" si="0"/>
        <v>5.1201253015639783E-3</v>
      </c>
      <c r="E55" s="61">
        <f t="shared" si="1"/>
        <v>5.1209481667949808E-3</v>
      </c>
      <c r="F55" s="13">
        <f t="shared" si="7"/>
        <v>92677.624701621709</v>
      </c>
      <c r="G55" s="13">
        <f t="shared" si="2"/>
        <v>474.5973123186829</v>
      </c>
      <c r="H55" s="13">
        <f>'2017 Life Table - Males'!C55</f>
        <v>91646.0390625</v>
      </c>
      <c r="I55" s="13">
        <f>'2017 Life Table - Males'!E55</f>
        <v>91396.71875</v>
      </c>
      <c r="J55" s="62">
        <f t="shared" si="3"/>
        <v>0.5</v>
      </c>
      <c r="K55" s="63">
        <f t="shared" si="4"/>
        <v>92440.326045462367</v>
      </c>
      <c r="L55" s="13">
        <f>'2017 Life Table - Males'!F55</f>
        <v>2653553.5</v>
      </c>
      <c r="M55" s="13">
        <f>SUM(K55:K$89)</f>
        <v>2691533.9904853473</v>
      </c>
      <c r="N55" s="64">
        <f>'2017 Life Table - Males'!G55</f>
        <v>28.954372406005859</v>
      </c>
      <c r="O55" s="65">
        <f t="shared" si="5"/>
        <v>29.041896565118268</v>
      </c>
      <c r="P55" s="66">
        <f t="shared" si="6"/>
        <v>31.968199115807291</v>
      </c>
    </row>
    <row r="56" spans="1:16" s="49" customFormat="1">
      <c r="A56" s="3" t="s">
        <v>68</v>
      </c>
      <c r="B56" s="11">
        <v>5.9650964103639126E-3</v>
      </c>
      <c r="C56" s="60">
        <f>'Opioid Mortality - WONDER'!H54/100000</f>
        <v>2.8758000000000001E-4</v>
      </c>
      <c r="D56" s="11">
        <f t="shared" si="0"/>
        <v>5.6775164103639126E-3</v>
      </c>
      <c r="E56" s="61">
        <f t="shared" si="1"/>
        <v>5.6783344871640384E-3</v>
      </c>
      <c r="F56" s="13">
        <f t="shared" si="7"/>
        <v>92203.027389303024</v>
      </c>
      <c r="G56" s="13">
        <f t="shared" si="2"/>
        <v>523.55963024560981</v>
      </c>
      <c r="H56" s="13">
        <f>'2017 Life Table - Males'!C56</f>
        <v>91147.3984375</v>
      </c>
      <c r="I56" s="13">
        <f>'2017 Life Table - Males'!E56</f>
        <v>90875.546875</v>
      </c>
      <c r="J56" s="62">
        <f t="shared" si="3"/>
        <v>0.5</v>
      </c>
      <c r="K56" s="63">
        <f t="shared" si="4"/>
        <v>91941.247574180219</v>
      </c>
      <c r="L56" s="13">
        <f>'2017 Life Table - Males'!F56</f>
        <v>2562156.75</v>
      </c>
      <c r="M56" s="13">
        <f>SUM(K56:K$89)</f>
        <v>2599093.6644398854</v>
      </c>
      <c r="N56" s="64">
        <f>'2017 Life Table - Males'!G56</f>
        <v>28.110036849975586</v>
      </c>
      <c r="O56" s="65">
        <f t="shared" si="5"/>
        <v>28.188810476535615</v>
      </c>
      <c r="P56" s="66">
        <f t="shared" si="6"/>
        <v>28.772067101050496</v>
      </c>
    </row>
    <row r="57" spans="1:16" s="49" customFormat="1">
      <c r="A57" s="3" t="s">
        <v>69</v>
      </c>
      <c r="B57" s="11">
        <v>6.5485280938446522E-3</v>
      </c>
      <c r="C57" s="60">
        <f>'Opioid Mortality - WONDER'!H55/100000</f>
        <v>3.2126699999999997E-4</v>
      </c>
      <c r="D57" s="11">
        <f t="shared" si="0"/>
        <v>6.2272610938446521E-3</v>
      </c>
      <c r="E57" s="61">
        <f t="shared" si="1"/>
        <v>6.2282636989385853E-3</v>
      </c>
      <c r="F57" s="13">
        <f t="shared" si="7"/>
        <v>91679.467759057414</v>
      </c>
      <c r="G57" s="13">
        <f t="shared" si="2"/>
        <v>571.00390098174773</v>
      </c>
      <c r="H57" s="13">
        <f>'2017 Life Table - Males'!C57</f>
        <v>90603.6953125</v>
      </c>
      <c r="I57" s="13">
        <f>'2017 Life Table - Males'!E57</f>
        <v>90307.03125</v>
      </c>
      <c r="J57" s="62">
        <f t="shared" si="3"/>
        <v>0.50000658371189677</v>
      </c>
      <c r="K57" s="63">
        <f t="shared" si="4"/>
        <v>91393.962049241367</v>
      </c>
      <c r="L57" s="13">
        <f>'2017 Life Table - Males'!F57</f>
        <v>2471281.25</v>
      </c>
      <c r="M57" s="13">
        <f>SUM(K57:K$89)</f>
        <v>2507152.416865705</v>
      </c>
      <c r="N57" s="64">
        <f>'2017 Life Table - Males'!G57</f>
        <v>27.275722503662109</v>
      </c>
      <c r="O57" s="65">
        <f t="shared" si="5"/>
        <v>27.346934686125646</v>
      </c>
      <c r="P57" s="66">
        <f t="shared" si="6"/>
        <v>26.010249644806809</v>
      </c>
    </row>
    <row r="58" spans="1:16" s="49" customFormat="1">
      <c r="A58" s="3" t="s">
        <v>70</v>
      </c>
      <c r="B58" s="11">
        <v>7.1699204854667187E-3</v>
      </c>
      <c r="C58" s="60">
        <f>'Opioid Mortality - WONDER'!H56/100000</f>
        <v>3.0661400000000003E-4</v>
      </c>
      <c r="D58" s="11">
        <f t="shared" si="0"/>
        <v>6.8633064854667185E-3</v>
      </c>
      <c r="E58" s="61">
        <f t="shared" si="1"/>
        <v>6.8643613102901124E-3</v>
      </c>
      <c r="F58" s="13">
        <f t="shared" si="7"/>
        <v>91108.463858075673</v>
      </c>
      <c r="G58" s="13">
        <f t="shared" si="2"/>
        <v>625.40141434733971</v>
      </c>
      <c r="H58" s="13">
        <f>'2017 Life Table - Males'!C58</f>
        <v>90010.375</v>
      </c>
      <c r="I58" s="13">
        <f>'2017 Life Table - Males'!E58</f>
        <v>89687.6875</v>
      </c>
      <c r="J58" s="62">
        <f t="shared" si="3"/>
        <v>0.50000605275581977</v>
      </c>
      <c r="K58" s="63">
        <f t="shared" si="4"/>
        <v>90795.759365499951</v>
      </c>
      <c r="L58" s="13">
        <f>'2017 Life Table - Males'!F58</f>
        <v>2380974.25</v>
      </c>
      <c r="M58" s="13">
        <f>SUM(K58:K$89)</f>
        <v>2415758.4548164639</v>
      </c>
      <c r="N58" s="64">
        <f>'2017 Life Table - Males'!G58</f>
        <v>26.452220916748047</v>
      </c>
      <c r="O58" s="65">
        <f t="shared" si="5"/>
        <v>26.515192469709671</v>
      </c>
      <c r="P58" s="66">
        <f t="shared" si="6"/>
        <v>23.000359719233224</v>
      </c>
    </row>
    <row r="59" spans="1:16" s="49" customFormat="1">
      <c r="A59" s="3" t="s">
        <v>71</v>
      </c>
      <c r="B59" s="11">
        <v>7.8031821176409721E-3</v>
      </c>
      <c r="C59" s="60">
        <f>'Opioid Mortality - WONDER'!H57/100000</f>
        <v>2.9102499999999999E-4</v>
      </c>
      <c r="D59" s="11">
        <f t="shared" si="0"/>
        <v>7.5121571176409718E-3</v>
      </c>
      <c r="E59" s="61">
        <f t="shared" si="1"/>
        <v>7.513253191474667E-3</v>
      </c>
      <c r="F59" s="13">
        <f t="shared" si="7"/>
        <v>90483.062443728326</v>
      </c>
      <c r="G59" s="13">
        <f t="shared" si="2"/>
        <v>679.82215767974344</v>
      </c>
      <c r="H59" s="13">
        <f>'2017 Life Table - Males'!C59</f>
        <v>89365.0078125</v>
      </c>
      <c r="I59" s="13">
        <f>'2017 Life Table - Males'!E59</f>
        <v>89016.34375</v>
      </c>
      <c r="J59" s="62">
        <f t="shared" si="3"/>
        <v>0.5</v>
      </c>
      <c r="K59" s="63">
        <f t="shared" si="4"/>
        <v>90143.151364888457</v>
      </c>
      <c r="L59" s="13">
        <f>'2017 Life Table - Males'!F59</f>
        <v>2291286.5</v>
      </c>
      <c r="M59" s="13">
        <f>SUM(K59:K$89)</f>
        <v>2324962.6954509635</v>
      </c>
      <c r="N59" s="64">
        <f>'2017 Life Table - Males'!G59</f>
        <v>25.639638900756836</v>
      </c>
      <c r="O59" s="65">
        <f t="shared" si="5"/>
        <v>25.695004486578519</v>
      </c>
      <c r="P59" s="66">
        <f t="shared" si="6"/>
        <v>20.222280221369651</v>
      </c>
    </row>
    <row r="60" spans="1:16" s="49" customFormat="1">
      <c r="A60" s="3" t="s">
        <v>72</v>
      </c>
      <c r="B60" s="11">
        <v>8.4446631371974945E-3</v>
      </c>
      <c r="C60" s="60">
        <f>'Opioid Mortality - WONDER'!H58/100000</f>
        <v>2.6850400000000003E-4</v>
      </c>
      <c r="D60" s="11">
        <f t="shared" si="0"/>
        <v>8.1761591371974952E-3</v>
      </c>
      <c r="E60" s="61">
        <f t="shared" si="1"/>
        <v>8.1772600047076427E-3</v>
      </c>
      <c r="F60" s="13">
        <f t="shared" si="7"/>
        <v>89803.240286048589</v>
      </c>
      <c r="G60" s="13">
        <f t="shared" si="2"/>
        <v>734.3444450842552</v>
      </c>
      <c r="H60" s="13">
        <f>'2017 Life Table - Males'!C60</f>
        <v>88667.6796875</v>
      </c>
      <c r="I60" s="13">
        <f>'2017 Life Table - Males'!E60</f>
        <v>88293.296875</v>
      </c>
      <c r="J60" s="62">
        <f t="shared" si="3"/>
        <v>0.5</v>
      </c>
      <c r="K60" s="63">
        <f t="shared" si="4"/>
        <v>89436.068063506464</v>
      </c>
      <c r="L60" s="13">
        <f>'2017 Life Table - Males'!F60</f>
        <v>2202270</v>
      </c>
      <c r="M60" s="13">
        <f>SUM(K60:K$89)</f>
        <v>2234819.5440860749</v>
      </c>
      <c r="N60" s="64">
        <f>'2017 Life Table - Males'!G60</f>
        <v>24.837347030639648</v>
      </c>
      <c r="O60" s="65">
        <f t="shared" si="5"/>
        <v>24.885733933069073</v>
      </c>
      <c r="P60" s="66">
        <f t="shared" si="6"/>
        <v>17.673316112347241</v>
      </c>
    </row>
    <row r="61" spans="1:16" s="49" customFormat="1">
      <c r="A61" s="3" t="s">
        <v>73</v>
      </c>
      <c r="B61" s="11">
        <v>9.1161839663982391E-3</v>
      </c>
      <c r="C61" s="60">
        <f>'Opioid Mortality - WONDER'!H59/100000</f>
        <v>2.7485699999999999E-4</v>
      </c>
      <c r="D61" s="11">
        <f t="shared" si="0"/>
        <v>8.8413269663982393E-3</v>
      </c>
      <c r="E61" s="61">
        <f t="shared" si="1"/>
        <v>8.8425458379263189E-3</v>
      </c>
      <c r="F61" s="13">
        <f t="shared" si="7"/>
        <v>89068.895840964338</v>
      </c>
      <c r="G61" s="13">
        <f t="shared" si="2"/>
        <v>787.59579420721207</v>
      </c>
      <c r="H61" s="13">
        <f>'2017 Life Table - Males'!C61</f>
        <v>87918.9140625</v>
      </c>
      <c r="I61" s="13">
        <f>'2017 Life Table - Males'!E61</f>
        <v>87518.171875</v>
      </c>
      <c r="J61" s="62">
        <f t="shared" si="3"/>
        <v>0.5</v>
      </c>
      <c r="K61" s="63">
        <f t="shared" si="4"/>
        <v>88675.097943860732</v>
      </c>
      <c r="L61" s="13">
        <f>'2017 Life Table - Males'!F61</f>
        <v>2113976.75</v>
      </c>
      <c r="M61" s="13">
        <f>SUM(K61:K$89)</f>
        <v>2145383.4760225685</v>
      </c>
      <c r="N61" s="64">
        <f>'2017 Life Table - Males'!G61</f>
        <v>24.044618606567383</v>
      </c>
      <c r="O61" s="65">
        <f t="shared" si="5"/>
        <v>24.086786478786337</v>
      </c>
      <c r="P61" s="66">
        <f t="shared" si="6"/>
        <v>15.401815327972955</v>
      </c>
    </row>
    <row r="62" spans="1:16" s="49" customFormat="1">
      <c r="A62" s="3" t="s">
        <v>74</v>
      </c>
      <c r="B62" s="11">
        <v>9.8380874842405319E-3</v>
      </c>
      <c r="C62" s="60">
        <f>'Opioid Mortality - WONDER'!H60/100000</f>
        <v>2.6200799999999999E-4</v>
      </c>
      <c r="D62" s="11">
        <f t="shared" si="0"/>
        <v>9.5760794842405326E-3</v>
      </c>
      <c r="E62" s="61">
        <f t="shared" si="1"/>
        <v>9.5773382336750146E-3</v>
      </c>
      <c r="F62" s="13">
        <f t="shared" si="7"/>
        <v>88281.300046757126</v>
      </c>
      <c r="G62" s="13">
        <f t="shared" si="2"/>
        <v>845.49987025634289</v>
      </c>
      <c r="H62" s="13">
        <f>'2017 Life Table - Males'!C62</f>
        <v>87117.4296875</v>
      </c>
      <c r="I62" s="13">
        <f>'2017 Life Table - Males'!E62</f>
        <v>86688.890625</v>
      </c>
      <c r="J62" s="62">
        <f t="shared" si="3"/>
        <v>0.50000455767740759</v>
      </c>
      <c r="K62" s="63">
        <f t="shared" si="4"/>
        <v>87858.546258113289</v>
      </c>
      <c r="L62" s="13">
        <f>'2017 Life Table - Males'!F62</f>
        <v>2026458.625</v>
      </c>
      <c r="M62" s="13">
        <f>SUM(K62:K$89)</f>
        <v>2056708.378078708</v>
      </c>
      <c r="N62" s="64">
        <f>'2017 Life Table - Males'!G62</f>
        <v>23.26123046875</v>
      </c>
      <c r="O62" s="65">
        <f t="shared" si="5"/>
        <v>23.29721443827172</v>
      </c>
      <c r="P62" s="66">
        <f t="shared" si="6"/>
        <v>13.143144867808111</v>
      </c>
    </row>
    <row r="63" spans="1:16" s="49" customFormat="1">
      <c r="A63" s="3" t="s">
        <v>75</v>
      </c>
      <c r="B63" s="11">
        <v>1.0619322769343853E-2</v>
      </c>
      <c r="C63" s="60">
        <f>'Opioid Mortality - WONDER'!H61/100000</f>
        <v>2.2387000000000001E-4</v>
      </c>
      <c r="D63" s="11">
        <f t="shared" si="0"/>
        <v>1.0395452769343854E-2</v>
      </c>
      <c r="E63" s="61">
        <f t="shared" si="1"/>
        <v>1.039662061282931E-2</v>
      </c>
      <c r="F63" s="13">
        <f t="shared" si="7"/>
        <v>87435.800176500779</v>
      </c>
      <c r="G63" s="13">
        <f t="shared" si="2"/>
        <v>909.03684241423264</v>
      </c>
      <c r="H63" s="13">
        <f>'2017 Life Table - Males'!C63</f>
        <v>86260.359375</v>
      </c>
      <c r="I63" s="13">
        <f>'2017 Life Table - Males'!E63</f>
        <v>85802.34375</v>
      </c>
      <c r="J63" s="62">
        <f t="shared" si="3"/>
        <v>0.50000426435595435</v>
      </c>
      <c r="K63" s="63">
        <f t="shared" si="4"/>
        <v>86981.277878836991</v>
      </c>
      <c r="L63" s="13">
        <f>'2017 Life Table - Males'!F63</f>
        <v>1939769.75</v>
      </c>
      <c r="M63" s="13">
        <f>SUM(K63:K$89)</f>
        <v>1968849.8318205948</v>
      </c>
      <c r="N63" s="64">
        <f>'2017 Life Table - Males'!G63</f>
        <v>22.487382888793945</v>
      </c>
      <c r="O63" s="65">
        <f t="shared" si="5"/>
        <v>22.517662420269613</v>
      </c>
      <c r="P63" s="66">
        <f t="shared" si="6"/>
        <v>11.059598871487445</v>
      </c>
    </row>
    <row r="64" spans="1:16" s="49" customFormat="1">
      <c r="A64" s="3" t="s">
        <v>76</v>
      </c>
      <c r="B64" s="11">
        <v>1.146990992128849E-2</v>
      </c>
      <c r="C64" s="60">
        <f>'Opioid Mortality - WONDER'!H62/100000</f>
        <v>2.1051300000000001E-4</v>
      </c>
      <c r="D64" s="11">
        <f t="shared" si="0"/>
        <v>1.125939692128849E-2</v>
      </c>
      <c r="E64" s="61">
        <f t="shared" si="1"/>
        <v>1.1260586687144913E-2</v>
      </c>
      <c r="F64" s="13">
        <f t="shared" si="7"/>
        <v>86526.763334086543</v>
      </c>
      <c r="G64" s="13">
        <f t="shared" si="2"/>
        <v>974.34211928155355</v>
      </c>
      <c r="H64" s="13">
        <f>'2017 Life Table - Males'!C64</f>
        <v>85344.3359375</v>
      </c>
      <c r="I64" s="13">
        <f>'2017 Life Table - Males'!E64</f>
        <v>84854.890625</v>
      </c>
      <c r="J64" s="62">
        <f t="shared" si="3"/>
        <v>0.5</v>
      </c>
      <c r="K64" s="63">
        <f t="shared" si="4"/>
        <v>86039.592274445764</v>
      </c>
      <c r="L64" s="13">
        <f>'2017 Life Table - Males'!F64</f>
        <v>1853967.375</v>
      </c>
      <c r="M64" s="13">
        <f>SUM(K64:K$89)</f>
        <v>1881868.5539417579</v>
      </c>
      <c r="N64" s="64">
        <f>'2017 Life Table - Males'!G64</f>
        <v>21.723379135131836</v>
      </c>
      <c r="O64" s="65">
        <f t="shared" si="5"/>
        <v>21.74897663368867</v>
      </c>
      <c r="P64" s="66">
        <f t="shared" si="6"/>
        <v>9.3494863478837473</v>
      </c>
    </row>
    <row r="65" spans="1:16" s="49" customFormat="1">
      <c r="A65" s="3" t="s">
        <v>77</v>
      </c>
      <c r="B65" s="11">
        <v>1.2361294589936733E-2</v>
      </c>
      <c r="C65" s="60">
        <f>'Opioid Mortality - WONDER'!H63/100000</f>
        <v>1.8286000000000002E-4</v>
      </c>
      <c r="D65" s="11">
        <f t="shared" si="0"/>
        <v>1.2178434589936733E-2</v>
      </c>
      <c r="E65" s="61">
        <f t="shared" si="1"/>
        <v>1.2179552749282729E-2</v>
      </c>
      <c r="F65" s="13">
        <f t="shared" si="7"/>
        <v>85552.421214804985</v>
      </c>
      <c r="G65" s="13">
        <f t="shared" si="2"/>
        <v>1041.9902270145722</v>
      </c>
      <c r="H65" s="13">
        <f>'2017 Life Table - Males'!C65</f>
        <v>84365.4453125</v>
      </c>
      <c r="I65" s="13">
        <f>'2017 Life Table - Males'!E65</f>
        <v>83844.015625</v>
      </c>
      <c r="J65" s="62">
        <f t="shared" si="3"/>
        <v>0.49999625431689976</v>
      </c>
      <c r="K65" s="63">
        <f t="shared" si="4"/>
        <v>85031.430004262889</v>
      </c>
      <c r="L65" s="13">
        <f>'2017 Life Table - Males'!F65</f>
        <v>1769112.5</v>
      </c>
      <c r="M65" s="13">
        <f>SUM(K65:K$89)</f>
        <v>1795828.9616673121</v>
      </c>
      <c r="N65" s="64">
        <f>'2017 Life Table - Males'!G65</f>
        <v>20.969633102416992</v>
      </c>
      <c r="O65" s="65">
        <f t="shared" si="5"/>
        <v>20.990977650513777</v>
      </c>
      <c r="P65" s="66">
        <f t="shared" si="6"/>
        <v>7.7960961923506762</v>
      </c>
    </row>
    <row r="66" spans="1:16" s="49" customFormat="1">
      <c r="A66" s="3" t="s">
        <v>78</v>
      </c>
      <c r="B66" s="11">
        <v>1.3260341249406338E-2</v>
      </c>
      <c r="C66" s="60">
        <f>'Opioid Mortality - WONDER'!H64/100000</f>
        <v>1.6709800000000002E-4</v>
      </c>
      <c r="D66" s="11">
        <f t="shared" si="0"/>
        <v>1.3093243249406339E-2</v>
      </c>
      <c r="E66" s="61">
        <f t="shared" si="1"/>
        <v>1.3094342105931633E-2</v>
      </c>
      <c r="F66" s="13">
        <f t="shared" si="7"/>
        <v>84510.430987790416</v>
      </c>
      <c r="G66" s="13">
        <f t="shared" si="2"/>
        <v>1106.6084948738535</v>
      </c>
      <c r="H66" s="13">
        <f>'2017 Life Table - Males'!C66</f>
        <v>83322.578125</v>
      </c>
      <c r="I66" s="13">
        <f>'2017 Life Table - Males'!E66</f>
        <v>82770.140625</v>
      </c>
      <c r="J66" s="62">
        <f t="shared" si="3"/>
        <v>0.49999646455718577</v>
      </c>
      <c r="K66" s="63">
        <f t="shared" si="4"/>
        <v>83957.130652704538</v>
      </c>
      <c r="L66" s="13">
        <f>'2017 Life Table - Males'!F66</f>
        <v>1685268.5</v>
      </c>
      <c r="M66" s="13">
        <f>SUM(K66:K$89)</f>
        <v>1710797.5316630492</v>
      </c>
      <c r="N66" s="64">
        <f>'2017 Life Table - Males'!G66</f>
        <v>20.225831985473633</v>
      </c>
      <c r="O66" s="65">
        <f t="shared" si="5"/>
        <v>20.243625688173516</v>
      </c>
      <c r="P66" s="66">
        <f t="shared" si="6"/>
        <v>6.49914991113239</v>
      </c>
    </row>
    <row r="67" spans="1:16" s="49" customFormat="1">
      <c r="A67" s="3" t="s">
        <v>79</v>
      </c>
      <c r="B67" s="11">
        <v>1.4139737002551556E-2</v>
      </c>
      <c r="C67" s="60">
        <f>'Opioid Mortality - WONDER'!H65/100000</f>
        <v>1.5186799999999999E-4</v>
      </c>
      <c r="D67" s="11">
        <f t="shared" si="0"/>
        <v>1.3987869002551556E-2</v>
      </c>
      <c r="E67" s="61">
        <f t="shared" si="1"/>
        <v>1.398893625363673E-2</v>
      </c>
      <c r="F67" s="13">
        <f t="shared" si="7"/>
        <v>83403.822492916559</v>
      </c>
      <c r="G67" s="13">
        <f t="shared" si="2"/>
        <v>1166.730756163043</v>
      </c>
      <c r="H67" s="13">
        <f>'2017 Life Table - Males'!C67</f>
        <v>82217.6953125</v>
      </c>
      <c r="I67" s="13">
        <f>'2017 Life Table - Males'!E67</f>
        <v>81636.421875</v>
      </c>
      <c r="J67" s="62">
        <f t="shared" si="3"/>
        <v>0.50000336010214708</v>
      </c>
      <c r="K67" s="63">
        <f t="shared" si="4"/>
        <v>82820.453194500515</v>
      </c>
      <c r="L67" s="13">
        <f>'2017 Life Table - Males'!F67</f>
        <v>1602498.375</v>
      </c>
      <c r="M67" s="13">
        <f>SUM(K67:K$89)</f>
        <v>1626840.401010345</v>
      </c>
      <c r="N67" s="64">
        <f>'2017 Life Table - Males'!G67</f>
        <v>19.49091911315918</v>
      </c>
      <c r="O67" s="65">
        <f t="shared" si="5"/>
        <v>19.505585624070306</v>
      </c>
      <c r="P67" s="66">
        <f t="shared" si="6"/>
        <v>5.3569431102890661</v>
      </c>
    </row>
    <row r="68" spans="1:16" s="49" customFormat="1">
      <c r="A68" s="3" t="s">
        <v>80</v>
      </c>
      <c r="B68" s="11">
        <v>1.5018866397440434E-2</v>
      </c>
      <c r="C68" s="60">
        <f>'Opioid Mortality - WONDER'!H66/100000</f>
        <v>1.4115899999999999E-4</v>
      </c>
      <c r="D68" s="11">
        <f t="shared" si="0"/>
        <v>1.4877707397440433E-2</v>
      </c>
      <c r="E68" s="61">
        <f t="shared" si="1"/>
        <v>1.4878762805307866E-2</v>
      </c>
      <c r="F68" s="13">
        <f t="shared" si="7"/>
        <v>82237.091736753515</v>
      </c>
      <c r="G68" s="13">
        <f t="shared" si="2"/>
        <v>1223.586181749499</v>
      </c>
      <c r="H68" s="13">
        <f>'2017 Life Table - Males'!C68</f>
        <v>81055.15625</v>
      </c>
      <c r="I68" s="13">
        <f>'2017 Life Table - Males'!E68</f>
        <v>80446.4765625</v>
      </c>
      <c r="J68" s="62">
        <f t="shared" si="3"/>
        <v>0.5</v>
      </c>
      <c r="K68" s="63">
        <f t="shared" si="4"/>
        <v>81625.298645878764</v>
      </c>
      <c r="L68" s="13">
        <f>'2017 Life Table - Males'!F68</f>
        <v>1520861.875</v>
      </c>
      <c r="M68" s="13">
        <f>SUM(K68:K$89)</f>
        <v>1544019.9478158443</v>
      </c>
      <c r="N68" s="64">
        <f>'2017 Life Table - Males'!G68</f>
        <v>18.763296127319336</v>
      </c>
      <c r="O68" s="65">
        <f t="shared" si="5"/>
        <v>18.775225572888161</v>
      </c>
      <c r="P68" s="66">
        <f t="shared" si="6"/>
        <v>4.3572299940132595</v>
      </c>
    </row>
    <row r="69" spans="1:16" s="49" customFormat="1">
      <c r="A69" s="3" t="s">
        <v>81</v>
      </c>
      <c r="B69" s="11">
        <v>1.594170555472374E-2</v>
      </c>
      <c r="C69" s="60">
        <f>'Opioid Mortality - WONDER'!H67/100000</f>
        <v>1.1427E-4</v>
      </c>
      <c r="D69" s="11">
        <f t="shared" ref="D69:D89" si="8">B69-C69</f>
        <v>1.582743555472374E-2</v>
      </c>
      <c r="E69" s="61">
        <f t="shared" ref="E69:E89" si="9">1-(1-B69)^(D69/B69)</f>
        <v>1.5828344734154065E-2</v>
      </c>
      <c r="F69" s="13">
        <f t="shared" si="7"/>
        <v>81013.505555004012</v>
      </c>
      <c r="G69" s="13">
        <f t="shared" ref="G69:G89" si="10">F69*E69</f>
        <v>1282.3096940469088</v>
      </c>
      <c r="H69" s="13">
        <f>'2017 Life Table - Males'!C69</f>
        <v>79837.796875</v>
      </c>
      <c r="I69" s="13">
        <f>'2017 Life Table - Males'!E69</f>
        <v>79201.421875</v>
      </c>
      <c r="J69" s="62">
        <f t="shared" ref="J69:J88" si="11">(H69-I69)/(H69-H70)</f>
        <v>0.5</v>
      </c>
      <c r="K69" s="63">
        <f t="shared" ref="K69:K88" si="12">(1-J69)*F69+(J69*F70)</f>
        <v>80372.350707980557</v>
      </c>
      <c r="L69" s="13">
        <f>'2017 Life Table - Males'!F69</f>
        <v>1440415.5</v>
      </c>
      <c r="M69" s="13">
        <f>SUM(K69:K$89)</f>
        <v>1462394.6491699659</v>
      </c>
      <c r="N69" s="64">
        <f>'2017 Life Table - Males'!G69</f>
        <v>18.041774749755859</v>
      </c>
      <c r="O69" s="65">
        <f t="shared" ref="O69:O89" si="13">M69/F69</f>
        <v>18.051245149206327</v>
      </c>
      <c r="P69" s="66">
        <f t="shared" ref="P69:P89" si="14">(O69-N69)*365.25</f>
        <v>3.4590633992833206</v>
      </c>
    </row>
    <row r="70" spans="1:16" s="49" customFormat="1">
      <c r="A70" s="3" t="s">
        <v>82</v>
      </c>
      <c r="B70" s="11">
        <v>1.7026431858539581E-2</v>
      </c>
      <c r="C70" s="60">
        <f>'Opioid Mortality - WONDER'!H68/100000</f>
        <v>1.0455000000000001E-4</v>
      </c>
      <c r="D70" s="11">
        <f t="shared" si="8"/>
        <v>1.6921881858539583E-2</v>
      </c>
      <c r="E70" s="61">
        <f t="shared" si="9"/>
        <v>1.6922771544801485E-2</v>
      </c>
      <c r="F70" s="13">
        <f t="shared" ref="F70:F89" si="15">F69*(1-E69)</f>
        <v>79731.195860957101</v>
      </c>
      <c r="G70" s="13">
        <f t="shared" si="10"/>
        <v>1349.2728125487988</v>
      </c>
      <c r="H70" s="13">
        <f>'2017 Life Table - Males'!C70</f>
        <v>78565.046875</v>
      </c>
      <c r="I70" s="13">
        <f>'2017 Life Table - Males'!E70</f>
        <v>77896.203125</v>
      </c>
      <c r="J70" s="62">
        <f t="shared" si="11"/>
        <v>0.50000292016843528</v>
      </c>
      <c r="K70" s="63">
        <f t="shared" si="12"/>
        <v>79056.555514578824</v>
      </c>
      <c r="L70" s="13">
        <f>'2017 Life Table - Males'!F70</f>
        <v>1361214</v>
      </c>
      <c r="M70" s="13">
        <f>SUM(K70:K$89)</f>
        <v>1382022.2984619853</v>
      </c>
      <c r="N70" s="64">
        <f>'2017 Life Table - Males'!G70</f>
        <v>17.325948715209961</v>
      </c>
      <c r="O70" s="65">
        <f t="shared" si="13"/>
        <v>17.333520255636053</v>
      </c>
      <c r="P70" s="66">
        <f t="shared" si="14"/>
        <v>2.7655051406300561</v>
      </c>
    </row>
    <row r="71" spans="1:16" s="49" customFormat="1">
      <c r="A71" s="3" t="s">
        <v>83</v>
      </c>
      <c r="B71" s="11">
        <v>1.8188728019595146E-2</v>
      </c>
      <c r="C71" s="60">
        <f>'Opioid Mortality - WONDER'!H69/100000</f>
        <v>8.2089999999999995E-5</v>
      </c>
      <c r="D71" s="11">
        <f t="shared" si="8"/>
        <v>1.8106638019595146E-2</v>
      </c>
      <c r="E71" s="61">
        <f t="shared" si="9"/>
        <v>1.8107385774476237E-2</v>
      </c>
      <c r="F71" s="13">
        <f t="shared" si="15"/>
        <v>78381.923048408309</v>
      </c>
      <c r="G71" s="13">
        <f t="shared" si="10"/>
        <v>1419.2917183828397</v>
      </c>
      <c r="H71" s="13">
        <f>'2017 Life Table - Males'!C71</f>
        <v>77227.3671875</v>
      </c>
      <c r="I71" s="13">
        <f>'2017 Life Table - Males'!E71</f>
        <v>76525.03125</v>
      </c>
      <c r="J71" s="62">
        <f t="shared" si="11"/>
        <v>0.50000278091403083</v>
      </c>
      <c r="K71" s="63">
        <f t="shared" si="12"/>
        <v>77672.273242288633</v>
      </c>
      <c r="L71" s="13">
        <f>'2017 Life Table - Males'!F71</f>
        <v>1283317.875</v>
      </c>
      <c r="M71" s="13">
        <f>SUM(K71:K$89)</f>
        <v>1302965.7429474066</v>
      </c>
      <c r="N71" s="64">
        <f>'2017 Life Table - Males'!G71</f>
        <v>16.617397308349609</v>
      </c>
      <c r="O71" s="65">
        <f t="shared" si="13"/>
        <v>16.623293895745594</v>
      </c>
      <c r="P71" s="66">
        <f t="shared" si="14"/>
        <v>2.1537285463832285</v>
      </c>
    </row>
    <row r="72" spans="1:16" s="49" customFormat="1">
      <c r="A72" s="3" t="s">
        <v>84</v>
      </c>
      <c r="B72" s="11">
        <v>1.9483163952827454E-2</v>
      </c>
      <c r="C72" s="60">
        <f>'Opioid Mortality - WONDER'!H70/100000</f>
        <v>7.3330999999999993E-5</v>
      </c>
      <c r="D72" s="11">
        <f t="shared" si="8"/>
        <v>1.9409832952827454E-2</v>
      </c>
      <c r="E72" s="61">
        <f t="shared" si="9"/>
        <v>1.9410549309138325E-2</v>
      </c>
      <c r="F72" s="13">
        <f t="shared" si="15"/>
        <v>76962.63133002547</v>
      </c>
      <c r="G72" s="13">
        <f t="shared" si="10"/>
        <v>1493.8869503924934</v>
      </c>
      <c r="H72" s="13">
        <f>'2017 Life Table - Males'!C72</f>
        <v>75822.703125</v>
      </c>
      <c r="I72" s="13">
        <f>'2017 Life Table - Males'!E72</f>
        <v>75084.0703125</v>
      </c>
      <c r="J72" s="62">
        <f t="shared" si="11"/>
        <v>0.5</v>
      </c>
      <c r="K72" s="63">
        <f t="shared" si="12"/>
        <v>76215.687854829215</v>
      </c>
      <c r="L72" s="13">
        <f>'2017 Life Table - Males'!F72</f>
        <v>1206792.75</v>
      </c>
      <c r="M72" s="13">
        <f>SUM(K72:K$89)</f>
        <v>1225293.4697051179</v>
      </c>
      <c r="N72" s="64">
        <f>'2017 Life Table - Males'!G72</f>
        <v>15.915981292724609</v>
      </c>
      <c r="O72" s="65">
        <f t="shared" si="13"/>
        <v>15.920628602872281</v>
      </c>
      <c r="P72" s="66">
        <f t="shared" si="14"/>
        <v>1.6974300314369755</v>
      </c>
    </row>
    <row r="73" spans="1:16" s="49" customFormat="1">
      <c r="A73" s="3" t="s">
        <v>85</v>
      </c>
      <c r="B73" s="11">
        <v>2.0990420132875443E-2</v>
      </c>
      <c r="C73" s="60">
        <f>'Opioid Mortality - WONDER'!H71/100000</f>
        <v>6.0509000000000006E-5</v>
      </c>
      <c r="D73" s="11">
        <f t="shared" si="8"/>
        <v>2.0929911132875442E-2</v>
      </c>
      <c r="E73" s="61">
        <f t="shared" si="9"/>
        <v>2.0930548847487462E-2</v>
      </c>
      <c r="F73" s="13">
        <f t="shared" si="15"/>
        <v>75468.744379632975</v>
      </c>
      <c r="G73" s="13">
        <f t="shared" si="10"/>
        <v>1579.6022406964528</v>
      </c>
      <c r="H73" s="13">
        <f>'2017 Life Table - Males'!C73</f>
        <v>74345.4375</v>
      </c>
      <c r="I73" s="13">
        <f>'2017 Life Table - Males'!E73</f>
        <v>73565.171875</v>
      </c>
      <c r="J73" s="62">
        <f t="shared" si="11"/>
        <v>0.49999749685855749</v>
      </c>
      <c r="K73" s="63">
        <f t="shared" si="12"/>
        <v>74678.947213252584</v>
      </c>
      <c r="L73" s="13">
        <f>'2017 Life Table - Males'!F73</f>
        <v>1131708.75</v>
      </c>
      <c r="M73" s="13">
        <f>SUM(K73:K$89)</f>
        <v>1149077.7818502886</v>
      </c>
      <c r="N73" s="64">
        <f>'2017 Life Table - Males'!G73</f>
        <v>15.222302436828613</v>
      </c>
      <c r="O73" s="65">
        <f t="shared" si="13"/>
        <v>15.225876504186207</v>
      </c>
      <c r="P73" s="66">
        <f t="shared" si="14"/>
        <v>1.3054281023610956</v>
      </c>
    </row>
    <row r="74" spans="1:16" s="49" customFormat="1">
      <c r="A74" s="3" t="s">
        <v>86</v>
      </c>
      <c r="B74" s="11">
        <v>2.2447997704148293E-2</v>
      </c>
      <c r="C74" s="60">
        <f>'Opioid Mortality - WONDER'!H72/100000</f>
        <v>3.5926999999999997E-5</v>
      </c>
      <c r="D74" s="11">
        <f t="shared" si="8"/>
        <v>2.2412070704148291E-2</v>
      </c>
      <c r="E74" s="61">
        <f t="shared" si="9"/>
        <v>2.2412476355074706E-2</v>
      </c>
      <c r="F74" s="13">
        <f t="shared" si="15"/>
        <v>73889.142138936528</v>
      </c>
      <c r="G74" s="13">
        <f t="shared" si="10"/>
        <v>1656.038651085669</v>
      </c>
      <c r="H74" s="13">
        <f>'2017 Life Table - Males'!C74</f>
        <v>72784.8984375</v>
      </c>
      <c r="I74" s="13">
        <f>'2017 Life Table - Males'!E74</f>
        <v>71967.9609375</v>
      </c>
      <c r="J74" s="62">
        <f t="shared" si="11"/>
        <v>0.5</v>
      </c>
      <c r="K74" s="63">
        <f t="shared" si="12"/>
        <v>73061.122813393697</v>
      </c>
      <c r="L74" s="13">
        <f>'2017 Life Table - Males'!F74</f>
        <v>1058143.5</v>
      </c>
      <c r="M74" s="13">
        <f>SUM(K74:K$89)</f>
        <v>1074398.8346370361</v>
      </c>
      <c r="N74" s="64">
        <f>'2017 Life Table - Males'!G74</f>
        <v>14.537954330444336</v>
      </c>
      <c r="O74" s="65">
        <f t="shared" si="13"/>
        <v>14.540686270478059</v>
      </c>
      <c r="P74" s="66">
        <f t="shared" si="14"/>
        <v>0.99784109731720871</v>
      </c>
    </row>
    <row r="75" spans="1:16" s="49" customFormat="1">
      <c r="A75" s="3" t="s">
        <v>87</v>
      </c>
      <c r="B75" s="11">
        <v>2.4630911648273468E-2</v>
      </c>
      <c r="C75" s="60">
        <f>'Opioid Mortality - WONDER'!H73/100000</f>
        <v>3.4325999999999996E-5</v>
      </c>
      <c r="D75" s="11">
        <f t="shared" si="8"/>
        <v>2.4596585648273467E-2</v>
      </c>
      <c r="E75" s="61">
        <f t="shared" si="9"/>
        <v>2.4597011313710393E-2</v>
      </c>
      <c r="F75" s="13">
        <f t="shared" si="15"/>
        <v>72233.103487850865</v>
      </c>
      <c r="G75" s="13">
        <f t="shared" si="10"/>
        <v>1776.7184637150813</v>
      </c>
      <c r="H75" s="13">
        <f>'2017 Life Table - Males'!C75</f>
        <v>71151.0234375</v>
      </c>
      <c r="I75" s="13">
        <f>'2017 Life Table - Males'!E75</f>
        <v>70274.765625</v>
      </c>
      <c r="J75" s="62">
        <f t="shared" si="11"/>
        <v>0.5</v>
      </c>
      <c r="K75" s="63">
        <f t="shared" si="12"/>
        <v>71344.744255993326</v>
      </c>
      <c r="L75" s="13">
        <f>'2017 Life Table - Males'!F75</f>
        <v>986175.5625</v>
      </c>
      <c r="M75" s="13">
        <f>SUM(K75:K$89)</f>
        <v>1001337.7118236425</v>
      </c>
      <c r="N75" s="64">
        <f>'2017 Life Table - Males'!G75</f>
        <v>13.86031436920166</v>
      </c>
      <c r="O75" s="65">
        <f t="shared" si="13"/>
        <v>13.862587421459205</v>
      </c>
      <c r="P75" s="66">
        <f t="shared" si="14"/>
        <v>0.83023233706820365</v>
      </c>
    </row>
    <row r="76" spans="1:16" s="49" customFormat="1">
      <c r="A76" s="3" t="s">
        <v>88</v>
      </c>
      <c r="B76" s="11">
        <v>2.6569554582238197E-2</v>
      </c>
      <c r="C76" s="60">
        <f>'Opioid Mortality - WONDER'!H74/100000</f>
        <v>3.7879999999999996E-5</v>
      </c>
      <c r="D76" s="11">
        <f t="shared" si="8"/>
        <v>2.6531674582238197E-2</v>
      </c>
      <c r="E76" s="61">
        <f t="shared" si="9"/>
        <v>2.6532181609200345E-2</v>
      </c>
      <c r="F76" s="13">
        <f t="shared" si="15"/>
        <v>70456.385024135787</v>
      </c>
      <c r="G76" s="13">
        <f t="shared" si="10"/>
        <v>1869.3616029881141</v>
      </c>
      <c r="H76" s="13">
        <f>'2017 Life Table - Males'!C76</f>
        <v>69398.5078125</v>
      </c>
      <c r="I76" s="13">
        <f>'2017 Life Table - Males'!E76</f>
        <v>68476.5625</v>
      </c>
      <c r="J76" s="62">
        <f t="shared" si="11"/>
        <v>0.5</v>
      </c>
      <c r="K76" s="63">
        <f t="shared" si="12"/>
        <v>69521.70422264174</v>
      </c>
      <c r="L76" s="13">
        <f>'2017 Life Table - Males'!F76</f>
        <v>915900.8125</v>
      </c>
      <c r="M76" s="13">
        <f>SUM(K76:K$89)</f>
        <v>929992.9675676492</v>
      </c>
      <c r="N76" s="64">
        <f>'2017 Life Table - Males'!G76</f>
        <v>13.197701454162598</v>
      </c>
      <c r="O76" s="65">
        <f t="shared" si="13"/>
        <v>13.199555544172009</v>
      </c>
      <c r="P76" s="66">
        <f t="shared" si="14"/>
        <v>0.67720637593747002</v>
      </c>
    </row>
    <row r="77" spans="1:16" s="49" customFormat="1">
      <c r="A77" s="3" t="s">
        <v>89</v>
      </c>
      <c r="B77" s="11">
        <v>2.9040491208434105E-2</v>
      </c>
      <c r="C77" s="60">
        <f>'Opioid Mortality - WONDER'!H75/100000</f>
        <v>2.3450000000000001E-5</v>
      </c>
      <c r="D77" s="11">
        <f t="shared" si="8"/>
        <v>2.9017041208434104E-2</v>
      </c>
      <c r="E77" s="61">
        <f t="shared" si="9"/>
        <v>2.9017384778063926E-2</v>
      </c>
      <c r="F77" s="13">
        <f t="shared" si="15"/>
        <v>68587.023421147678</v>
      </c>
      <c r="G77" s="13">
        <f t="shared" si="10"/>
        <v>1990.2160493935246</v>
      </c>
      <c r="H77" s="13">
        <f>'2017 Life Table - Males'!C77</f>
        <v>67554.6171875</v>
      </c>
      <c r="I77" s="13">
        <f>'2017 Life Table - Males'!E77</f>
        <v>66573.703125</v>
      </c>
      <c r="J77" s="62">
        <f t="shared" si="11"/>
        <v>0.50000199113546495</v>
      </c>
      <c r="K77" s="63">
        <f t="shared" si="12"/>
        <v>67591.911433661153</v>
      </c>
      <c r="L77" s="13">
        <f>'2017 Life Table - Males'!F77</f>
        <v>847424.25</v>
      </c>
      <c r="M77" s="13">
        <f>SUM(K77:K$89)</f>
        <v>860471.26334500732</v>
      </c>
      <c r="N77" s="64">
        <f>'2017 Life Table - Males'!G77</f>
        <v>12.544282913208008</v>
      </c>
      <c r="O77" s="65">
        <f t="shared" si="13"/>
        <v>12.54568605582168</v>
      </c>
      <c r="P77" s="66">
        <f t="shared" si="14"/>
        <v>0.51249783964362638</v>
      </c>
    </row>
    <row r="78" spans="1:16" s="49" customFormat="1">
      <c r="A78" s="3" t="s">
        <v>90</v>
      </c>
      <c r="B78" s="11">
        <v>3.153933584690094E-2</v>
      </c>
      <c r="C78" s="60">
        <f>'Opioid Mortality - WONDER'!H76/100000</f>
        <v>1.2064606897985397E-5</v>
      </c>
      <c r="D78" s="11">
        <f t="shared" si="8"/>
        <v>3.1527271240002958E-2</v>
      </c>
      <c r="E78" s="61">
        <f t="shared" si="9"/>
        <v>3.1527463454398164E-2</v>
      </c>
      <c r="F78" s="13">
        <f t="shared" si="15"/>
        <v>66596.807371754156</v>
      </c>
      <c r="G78" s="13">
        <f t="shared" si="10"/>
        <v>2099.6284105925733</v>
      </c>
      <c r="H78" s="13">
        <f>'2017 Life Table - Males'!C78</f>
        <v>65592.796875</v>
      </c>
      <c r="I78" s="13">
        <f>'2017 Life Table - Males'!E78</f>
        <v>64558.421875</v>
      </c>
      <c r="J78" s="62">
        <f t="shared" si="11"/>
        <v>0.49999905589302135</v>
      </c>
      <c r="K78" s="63">
        <f t="shared" si="12"/>
        <v>65546.995148731701</v>
      </c>
      <c r="L78" s="13">
        <f>'2017 Life Table - Males'!F78</f>
        <v>780850.5625</v>
      </c>
      <c r="M78" s="13">
        <f>SUM(K78:K$89)</f>
        <v>792879.3519113462</v>
      </c>
      <c r="N78" s="64">
        <f>'2017 Life Table - Males'!G78</f>
        <v>11.90451717376709</v>
      </c>
      <c r="O78" s="65">
        <f t="shared" si="13"/>
        <v>11.90566610025861</v>
      </c>
      <c r="P78" s="66">
        <f t="shared" si="14"/>
        <v>0.41964540102787762</v>
      </c>
    </row>
    <row r="79" spans="1:16" s="49" customFormat="1">
      <c r="A79" s="3" t="s">
        <v>91</v>
      </c>
      <c r="B79" s="11">
        <v>3.4644465893507004E-2</v>
      </c>
      <c r="C79" s="60">
        <f>'Opioid Mortality - WONDER'!H77/100000</f>
        <v>1.9481742360451196E-5</v>
      </c>
      <c r="D79" s="11">
        <f t="shared" si="8"/>
        <v>3.4624984151146551E-2</v>
      </c>
      <c r="E79" s="61">
        <f t="shared" si="9"/>
        <v>3.4625325394743167E-2</v>
      </c>
      <c r="F79" s="13">
        <f t="shared" si="15"/>
        <v>64497.178961161582</v>
      </c>
      <c r="G79" s="13">
        <f t="shared" si="10"/>
        <v>2233.235808573203</v>
      </c>
      <c r="H79" s="13">
        <f>'2017 Life Table - Males'!C79</f>
        <v>63524.04296875</v>
      </c>
      <c r="I79" s="13">
        <f>'2017 Life Table - Males'!E79</f>
        <v>62423.6640625</v>
      </c>
      <c r="J79" s="62">
        <f t="shared" si="11"/>
        <v>0.5</v>
      </c>
      <c r="K79" s="63">
        <f t="shared" si="12"/>
        <v>63380.561056874983</v>
      </c>
      <c r="L79" s="13">
        <f>'2017 Life Table - Males'!F79</f>
        <v>716292.125</v>
      </c>
      <c r="M79" s="13">
        <f>SUM(K79:K$89)</f>
        <v>727332.35676261457</v>
      </c>
      <c r="N79" s="64">
        <f>'2017 Life Table - Males'!G79</f>
        <v>11.275921821594238</v>
      </c>
      <c r="O79" s="65">
        <f t="shared" si="13"/>
        <v>11.276963868459953</v>
      </c>
      <c r="P79" s="66">
        <f t="shared" si="14"/>
        <v>0.38060761770234963</v>
      </c>
    </row>
    <row r="80" spans="1:16" s="49" customFormat="1">
      <c r="A80" s="3" t="s">
        <v>92</v>
      </c>
      <c r="B80" s="11">
        <v>3.8148298859596252E-2</v>
      </c>
      <c r="C80" s="60">
        <f>'Opioid Mortality - WONDER'!H78/100000</f>
        <v>1.6919819393013566E-5</v>
      </c>
      <c r="D80" s="11">
        <f t="shared" si="8"/>
        <v>3.8131379040203237E-2</v>
      </c>
      <c r="E80" s="61">
        <f t="shared" si="9"/>
        <v>3.8131705812242012E-2</v>
      </c>
      <c r="F80" s="13">
        <f t="shared" si="15"/>
        <v>62263.943152588377</v>
      </c>
      <c r="G80" s="13">
        <f t="shared" si="10"/>
        <v>2374.2303630046604</v>
      </c>
      <c r="H80" s="13">
        <f>'2017 Life Table - Males'!C80</f>
        <v>61323.28515625</v>
      </c>
      <c r="I80" s="13">
        <f>'2017 Life Table - Males'!E80</f>
        <v>60153.59375</v>
      </c>
      <c r="J80" s="62">
        <f t="shared" si="11"/>
        <v>0.50000083489040392</v>
      </c>
      <c r="K80" s="63">
        <f t="shared" si="12"/>
        <v>61076.8259888639</v>
      </c>
      <c r="L80" s="13">
        <f>'2017 Life Table - Males'!F80</f>
        <v>653868.5</v>
      </c>
      <c r="M80" s="13">
        <f>SUM(K80:K$89)</f>
        <v>663951.79570573953</v>
      </c>
      <c r="N80" s="64">
        <f>'2017 Life Table - Males'!G80</f>
        <v>10.662646293640137</v>
      </c>
      <c r="O80" s="65">
        <f t="shared" si="13"/>
        <v>10.663503820800631</v>
      </c>
      <c r="P80" s="66">
        <f t="shared" si="14"/>
        <v>0.31321179537068833</v>
      </c>
    </row>
    <row r="81" spans="1:16" s="49" customFormat="1">
      <c r="A81" s="3" t="s">
        <v>93</v>
      </c>
      <c r="B81" s="11">
        <v>4.2249701917171478E-2</v>
      </c>
      <c r="C81" s="60">
        <f>'Opioid Mortality - WONDER'!H79/100000</f>
        <v>1.5592272469763985E-5</v>
      </c>
      <c r="D81" s="11">
        <f t="shared" si="8"/>
        <v>4.2234109644701714E-2</v>
      </c>
      <c r="E81" s="61">
        <f t="shared" si="9"/>
        <v>4.2234443646940734E-2</v>
      </c>
      <c r="F81" s="13">
        <f t="shared" si="15"/>
        <v>59889.712789583718</v>
      </c>
      <c r="G81" s="13">
        <f t="shared" si="10"/>
        <v>2529.4086998431394</v>
      </c>
      <c r="H81" s="13">
        <f>'2017 Life Table - Males'!C81</f>
        <v>58983.90625</v>
      </c>
      <c r="I81" s="13">
        <f>'2017 Life Table - Males'!E81</f>
        <v>57737.8828125</v>
      </c>
      <c r="J81" s="62">
        <f t="shared" si="11"/>
        <v>0.49999921625794519</v>
      </c>
      <c r="K81" s="63">
        <f t="shared" si="12"/>
        <v>58625.010422066123</v>
      </c>
      <c r="L81" s="13">
        <f>'2017 Life Table - Males'!F81</f>
        <v>593714.875</v>
      </c>
      <c r="M81" s="13">
        <f>SUM(K81:K$89)</f>
        <v>602874.96971687558</v>
      </c>
      <c r="N81" s="64">
        <f>'2017 Life Table - Males'!G81</f>
        <v>10.065710067749023</v>
      </c>
      <c r="O81" s="65">
        <f t="shared" si="13"/>
        <v>10.06641945061607</v>
      </c>
      <c r="P81" s="66">
        <f t="shared" si="14"/>
        <v>0.25910209218892621</v>
      </c>
    </row>
    <row r="82" spans="1:16" s="49" customFormat="1">
      <c r="A82" s="3" t="s">
        <v>94</v>
      </c>
      <c r="B82" s="11">
        <v>4.6521790325641632E-2</v>
      </c>
      <c r="C82" s="60">
        <f>'Opioid Mortality - WONDER'!H80/100000</f>
        <v>1.5426579997335408E-5</v>
      </c>
      <c r="D82" s="11">
        <f t="shared" si="8"/>
        <v>4.6506363745644298E-2</v>
      </c>
      <c r="E82" s="61">
        <f t="shared" si="9"/>
        <v>4.6506728160467525E-2</v>
      </c>
      <c r="F82" s="13">
        <f t="shared" si="15"/>
        <v>57360.304089740581</v>
      </c>
      <c r="G82" s="13">
        <f t="shared" si="10"/>
        <v>2667.640069503319</v>
      </c>
      <c r="H82" s="13">
        <f>'2017 Life Table - Males'!C82</f>
        <v>56491.85546875</v>
      </c>
      <c r="I82" s="13">
        <f>'2017 Life Table - Males'!E82</f>
        <v>55177.8046875</v>
      </c>
      <c r="J82" s="62">
        <f t="shared" si="11"/>
        <v>0.5</v>
      </c>
      <c r="K82" s="63">
        <f t="shared" si="12"/>
        <v>56026.48405498892</v>
      </c>
      <c r="L82" s="13">
        <f>'2017 Life Table - Males'!F82</f>
        <v>535977</v>
      </c>
      <c r="M82" s="13">
        <f>SUM(K82:K$89)</f>
        <v>544249.95929480949</v>
      </c>
      <c r="N82" s="64">
        <f>'2017 Life Table - Males'!G82</f>
        <v>9.4876861572265625</v>
      </c>
      <c r="O82" s="65">
        <f t="shared" si="13"/>
        <v>9.4882683753441537</v>
      </c>
      <c r="P82" s="66">
        <f t="shared" si="14"/>
        <v>0.21265516745017932</v>
      </c>
    </row>
    <row r="83" spans="1:16" s="49" customFormat="1">
      <c r="A83" s="3" t="s">
        <v>95</v>
      </c>
      <c r="B83" s="11">
        <v>5.1400776952505112E-2</v>
      </c>
      <c r="C83" s="60">
        <f>'Opioid Mortality - WONDER'!H81/100000</f>
        <v>1.3538415253281186E-5</v>
      </c>
      <c r="D83" s="11">
        <f t="shared" si="8"/>
        <v>5.1387238537251828E-2</v>
      </c>
      <c r="E83" s="61">
        <f t="shared" si="9"/>
        <v>5.1387592507771473E-2</v>
      </c>
      <c r="F83" s="13">
        <f t="shared" si="15"/>
        <v>54692.664020237266</v>
      </c>
      <c r="G83" s="13">
        <f t="shared" si="10"/>
        <v>2810.5243318364069</v>
      </c>
      <c r="H83" s="13">
        <f>'2017 Life Table - Males'!C83</f>
        <v>53863.75390625</v>
      </c>
      <c r="I83" s="13">
        <f>'2017 Life Table - Males'!E83</f>
        <v>52479.43359375</v>
      </c>
      <c r="J83" s="62">
        <f t="shared" si="11"/>
        <v>0.5</v>
      </c>
      <c r="K83" s="63">
        <f t="shared" si="12"/>
        <v>53287.401854319061</v>
      </c>
      <c r="L83" s="13">
        <f>'2017 Life Table - Males'!F83</f>
        <v>480799.1875</v>
      </c>
      <c r="M83" s="13">
        <f>SUM(K83:K$89)</f>
        <v>488223.47523982055</v>
      </c>
      <c r="N83" s="64">
        <f>'2017 Life Table - Males'!G83</f>
        <v>8.9262104034423828</v>
      </c>
      <c r="O83" s="65">
        <f t="shared" si="13"/>
        <v>8.9266720498231553</v>
      </c>
      <c r="P83" s="66">
        <f t="shared" si="14"/>
        <v>0.16861634057715813</v>
      </c>
    </row>
    <row r="84" spans="1:16" s="49" customFormat="1">
      <c r="A84" s="3" t="s">
        <v>96</v>
      </c>
      <c r="B84" s="11">
        <v>5.678277462720871E-2</v>
      </c>
      <c r="C84" s="60">
        <f>'Opioid Mortality - WONDER'!H82/100000</f>
        <v>3.3552486994217227E-6</v>
      </c>
      <c r="D84" s="11">
        <f t="shared" si="8"/>
        <v>5.6779419378509291E-2</v>
      </c>
      <c r="E84" s="61">
        <f t="shared" si="9"/>
        <v>5.6779516489096737E-2</v>
      </c>
      <c r="F84" s="13">
        <f t="shared" si="15"/>
        <v>51882.139688400857</v>
      </c>
      <c r="G84" s="13">
        <f t="shared" si="10"/>
        <v>2945.8428059271769</v>
      </c>
      <c r="H84" s="13">
        <f>'2017 Life Table - Males'!C84</f>
        <v>51095.11328125</v>
      </c>
      <c r="I84" s="13">
        <f>'2017 Life Table - Males'!E84</f>
        <v>49644.453125</v>
      </c>
      <c r="J84" s="62">
        <f t="shared" si="11"/>
        <v>0.49999932681601478</v>
      </c>
      <c r="K84" s="63">
        <f t="shared" si="12"/>
        <v>50409.22026853147</v>
      </c>
      <c r="L84" s="13">
        <f>'2017 Life Table - Males'!F84</f>
        <v>428319.75</v>
      </c>
      <c r="M84" s="13">
        <f>SUM(K84:K$89)</f>
        <v>434936.07338550151</v>
      </c>
      <c r="N84" s="64">
        <f>'2017 Life Table - Males'!G84</f>
        <v>8.3827924728393555</v>
      </c>
      <c r="O84" s="65">
        <f t="shared" si="13"/>
        <v>8.3831560532716214</v>
      </c>
      <c r="P84" s="66">
        <f t="shared" si="14"/>
        <v>0.13279775288512718</v>
      </c>
    </row>
    <row r="85" spans="1:16" s="49" customFormat="1">
      <c r="A85" s="3" t="s">
        <v>97</v>
      </c>
      <c r="B85" s="11">
        <v>6.2514141201972961E-2</v>
      </c>
      <c r="C85" s="60">
        <f>'Opioid Mortality - WONDER'!H83/100000</f>
        <v>1.9922772090731925E-5</v>
      </c>
      <c r="D85" s="11">
        <f t="shared" si="8"/>
        <v>6.2494218429882231E-2</v>
      </c>
      <c r="E85" s="61">
        <f t="shared" si="9"/>
        <v>6.2494854356892393E-2</v>
      </c>
      <c r="F85" s="13">
        <f t="shared" si="15"/>
        <v>48936.296882473682</v>
      </c>
      <c r="G85" s="13">
        <f t="shared" si="10"/>
        <v>3058.2667464358401</v>
      </c>
      <c r="H85" s="13">
        <f>'2017 Life Table - Males'!C85</f>
        <v>48193.7890625</v>
      </c>
      <c r="I85" s="13">
        <f>'2017 Life Table - Males'!E85</f>
        <v>46687.390625</v>
      </c>
      <c r="J85" s="62">
        <f t="shared" si="11"/>
        <v>0.50000064827720336</v>
      </c>
      <c r="K85" s="63">
        <f t="shared" si="12"/>
        <v>47407.161526651151</v>
      </c>
      <c r="L85" s="13">
        <f>'2017 Life Table - Males'!F85</f>
        <v>378675.3125</v>
      </c>
      <c r="M85" s="13">
        <f>SUM(K85:K$89)</f>
        <v>384526.85311697004</v>
      </c>
      <c r="N85" s="64">
        <f>'2017 Life Table - Males'!G85</f>
        <v>7.8573465347290039</v>
      </c>
      <c r="O85" s="65">
        <f t="shared" si="13"/>
        <v>7.857702311240609</v>
      </c>
      <c r="P85" s="66">
        <f t="shared" si="14"/>
        <v>0.12994737086377062</v>
      </c>
    </row>
    <row r="86" spans="1:16" s="49" customFormat="1">
      <c r="A86" s="3" t="s">
        <v>98</v>
      </c>
      <c r="B86" s="11">
        <v>6.9451943039894104E-2</v>
      </c>
      <c r="C86" s="60">
        <f>'Opioid Mortality - WONDER'!H84/100000</f>
        <v>1.1760900885007792E-5</v>
      </c>
      <c r="D86" s="11">
        <f t="shared" si="8"/>
        <v>6.9440182139009099E-2</v>
      </c>
      <c r="E86" s="61">
        <f t="shared" si="9"/>
        <v>6.9440600276194697E-2</v>
      </c>
      <c r="F86" s="13">
        <f t="shared" si="15"/>
        <v>45878.030136037843</v>
      </c>
      <c r="G86" s="13">
        <f t="shared" si="10"/>
        <v>3185.7979521358179</v>
      </c>
      <c r="H86" s="13">
        <f>'2017 Life Table - Males'!C86</f>
        <v>45180.99609375</v>
      </c>
      <c r="I86" s="13">
        <f>'2017 Life Table - Males'!E86</f>
        <v>43612.04296875</v>
      </c>
      <c r="J86" s="62">
        <f t="shared" si="11"/>
        <v>0.5</v>
      </c>
      <c r="K86" s="63">
        <f t="shared" si="12"/>
        <v>44285.131159969933</v>
      </c>
      <c r="L86" s="13">
        <f>'2017 Life Table - Males'!F86</f>
        <v>331987.90625</v>
      </c>
      <c r="M86" s="13">
        <f>SUM(K86:K$89)</f>
        <v>337119.69159031892</v>
      </c>
      <c r="N86" s="64">
        <f>'2017 Life Table - Males'!G86</f>
        <v>7.3479547500610352</v>
      </c>
      <c r="O86" s="65">
        <f t="shared" si="13"/>
        <v>7.3481727657157325</v>
      </c>
      <c r="P86" s="66">
        <f t="shared" si="14"/>
        <v>7.9630217878213561E-2</v>
      </c>
    </row>
    <row r="87" spans="1:16" s="49" customFormat="1">
      <c r="A87" s="3" t="s">
        <v>99</v>
      </c>
      <c r="B87" s="11">
        <v>7.7621564269065857E-2</v>
      </c>
      <c r="C87" s="60">
        <f>'Opioid Mortality - WONDER'!H85/100000</f>
        <v>4.5279499027622757E-6</v>
      </c>
      <c r="D87" s="11">
        <f t="shared" si="8"/>
        <v>7.7617036319163099E-2</v>
      </c>
      <c r="E87" s="61">
        <f t="shared" si="9"/>
        <v>7.7617216774229614E-2</v>
      </c>
      <c r="F87" s="13">
        <f t="shared" si="15"/>
        <v>42692.232183902022</v>
      </c>
      <c r="G87" s="13">
        <f t="shared" si="10"/>
        <v>3313.6522399936653</v>
      </c>
      <c r="H87" s="13">
        <f>'2017 Life Table - Males'!C87</f>
        <v>42043.08984375</v>
      </c>
      <c r="I87" s="13">
        <f>'2017 Life Table - Males'!E87</f>
        <v>40411.3671875</v>
      </c>
      <c r="J87" s="62">
        <f t="shared" si="11"/>
        <v>0.49999940151512429</v>
      </c>
      <c r="K87" s="63">
        <f t="shared" si="12"/>
        <v>41035.408047075936</v>
      </c>
      <c r="L87" s="13">
        <f>'2017 Life Table - Males'!F87</f>
        <v>288375.875</v>
      </c>
      <c r="M87" s="13">
        <f>SUM(K87:K$89)</f>
        <v>292834.56043034897</v>
      </c>
      <c r="N87" s="64">
        <f>'2017 Life Table - Males'!G87</f>
        <v>6.8590550422668457</v>
      </c>
      <c r="O87" s="65">
        <f t="shared" si="13"/>
        <v>6.8592000336016214</v>
      </c>
      <c r="P87" s="66">
        <f t="shared" si="14"/>
        <v>5.2958085026841184E-2</v>
      </c>
    </row>
    <row r="88" spans="1:16" s="49" customFormat="1">
      <c r="A88" s="3" t="s">
        <v>100</v>
      </c>
      <c r="B88" s="11">
        <v>8.6155369877815247E-2</v>
      </c>
      <c r="C88" s="60">
        <f>'Opioid Mortality - WONDER'!H86/100000</f>
        <v>9.7804293608489407E-6</v>
      </c>
      <c r="D88" s="11">
        <f t="shared" si="8"/>
        <v>8.6145589448454393E-2</v>
      </c>
      <c r="E88" s="61">
        <f t="shared" si="9"/>
        <v>8.6146023368339097E-2</v>
      </c>
      <c r="F88" s="13">
        <f t="shared" si="15"/>
        <v>39378.579943908357</v>
      </c>
      <c r="G88" s="13">
        <f t="shared" si="10"/>
        <v>3392.3080680599387</v>
      </c>
      <c r="H88" s="13">
        <f>'2017 Life Table - Males'!C88</f>
        <v>38779.640625</v>
      </c>
      <c r="I88" s="13">
        <f>'2017 Life Table - Males'!E88</f>
        <v>37109.1015625</v>
      </c>
      <c r="J88" s="62">
        <f t="shared" si="11"/>
        <v>0.50000058457995011</v>
      </c>
      <c r="K88" s="63">
        <f t="shared" si="12"/>
        <v>37682.423926803109</v>
      </c>
      <c r="L88" s="13">
        <f>'2017 Life Table - Males'!F88</f>
        <v>247964.5</v>
      </c>
      <c r="M88" s="13">
        <f>SUM(K88:K$89)</f>
        <v>251799.15238327303</v>
      </c>
      <c r="N88" s="64">
        <f>'2017 Life Table - Males'!G88</f>
        <v>6.3941926956176758</v>
      </c>
      <c r="O88" s="65">
        <f t="shared" si="13"/>
        <v>6.3943177418266686</v>
      </c>
      <c r="P88" s="66">
        <f t="shared" si="14"/>
        <v>4.5673127834614746E-2</v>
      </c>
    </row>
    <row r="89" spans="1:16" s="49" customFormat="1">
      <c r="A89" s="26" t="s">
        <v>288</v>
      </c>
      <c r="B89" s="11">
        <v>1</v>
      </c>
      <c r="C89" s="60">
        <f>'Opioid Mortality - WONDER'!H87/100000</f>
        <v>1.1843824695602739E-5</v>
      </c>
      <c r="D89" s="11">
        <f t="shared" si="8"/>
        <v>0.99998815617530434</v>
      </c>
      <c r="E89" s="61">
        <f t="shared" si="9"/>
        <v>1</v>
      </c>
      <c r="F89" s="13">
        <f t="shared" si="15"/>
        <v>35986.271875848419</v>
      </c>
      <c r="G89" s="13">
        <f t="shared" si="10"/>
        <v>35986.271875848419</v>
      </c>
      <c r="H89" s="13">
        <f>'2017 Life Table - Males'!C89</f>
        <v>35438.56640625</v>
      </c>
      <c r="I89" s="13">
        <f>'2017 Life Table - Males'!E89</f>
        <v>33747.25</v>
      </c>
      <c r="J89" s="62" t="s">
        <v>307</v>
      </c>
      <c r="K89" s="63">
        <f>(N89*F89)/(1-C89)</f>
        <v>214116.72845646992</v>
      </c>
      <c r="L89" s="13">
        <f>'2017 Life Table - Males'!F89</f>
        <v>210855.40625</v>
      </c>
      <c r="M89" s="13">
        <f>SUM(K89:K$89)</f>
        <v>214116.72845646992</v>
      </c>
      <c r="N89" s="64">
        <f>'2017 Life Table - Males'!G89</f>
        <v>5.949885368347168</v>
      </c>
      <c r="O89" s="65">
        <f t="shared" si="13"/>
        <v>5.949955838581066</v>
      </c>
      <c r="P89" s="66">
        <f t="shared" si="14"/>
        <v>2.5739252931265222E-2</v>
      </c>
    </row>
    <row r="90" spans="1:16">
      <c r="B90" s="11"/>
    </row>
    <row r="91" spans="1:16">
      <c r="B91" s="11"/>
    </row>
    <row r="92" spans="1:16">
      <c r="B92" s="11"/>
    </row>
    <row r="93" spans="1:16">
      <c r="B93" s="11"/>
    </row>
    <row r="94" spans="1:16">
      <c r="B94" s="11"/>
    </row>
    <row r="95" spans="1:16">
      <c r="B95" s="11"/>
    </row>
    <row r="96" spans="1:16">
      <c r="B96" s="11"/>
    </row>
    <row r="97" spans="2:2">
      <c r="B97" s="11"/>
    </row>
    <row r="98" spans="2:2">
      <c r="B98" s="11"/>
    </row>
    <row r="99" spans="2:2">
      <c r="B99" s="11"/>
    </row>
    <row r="100" spans="2:2">
      <c r="B100" s="11"/>
    </row>
    <row r="101" spans="2:2">
      <c r="B101" s="11"/>
    </row>
    <row r="102" spans="2:2">
      <c r="B102" s="11"/>
    </row>
    <row r="103" spans="2:2">
      <c r="B103" s="11"/>
    </row>
    <row r="104" spans="2:2">
      <c r="B104" s="12"/>
    </row>
  </sheetData>
  <mergeCells count="2">
    <mergeCell ref="A1:N1"/>
    <mergeCell ref="A2:A3"/>
  </mergeCells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N6:O7"/>
  <sheetViews>
    <sheetView workbookViewId="0">
      <selection activeCell="O13" sqref="O13"/>
    </sheetView>
  </sheetViews>
  <sheetFormatPr baseColWidth="10" defaultColWidth="8.83203125" defaultRowHeight="15"/>
  <cols>
    <col min="14" max="14" width="19" customWidth="1"/>
  </cols>
  <sheetData>
    <row r="6" spans="14:15">
      <c r="N6" t="s">
        <v>334</v>
      </c>
      <c r="O6">
        <f>MAX('Modified Life Table trunc. 85+'!Q4:Q89)</f>
        <v>200.12661714631699</v>
      </c>
    </row>
    <row r="7" spans="14:15">
      <c r="N7" t="s">
        <v>335</v>
      </c>
      <c r="O7" t="s">
        <v>337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2017 Life Table - Males</vt:lpstr>
      <vt:lpstr>Opioid Mortality - WONDER</vt:lpstr>
      <vt:lpstr>Modified Life Table trunc. 85+</vt:lpstr>
      <vt:lpstr>Cohort Method</vt:lpstr>
      <vt:lpstr>Change in Life Expectancy</vt:lpstr>
      <vt:lpstr>'Opioid Mortality - WONDER'!Multiple_Cause_of_Death__1999_2018</vt:lpstr>
      <vt:lpstr>'2017 Life Table - Males'!Print_Titles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2006-10-24T03:27:27Z</dcterms:created>
  <dcterms:modified xsi:type="dcterms:W3CDTF">2020-04-28T03:29:48Z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{B4F5C59D-D3CF-420C-870C-09E94615D8DB}</vt:lpwstr>
  </property>
</Properties>
</file>